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9040" windowHeight="15840"/>
  </bookViews>
  <sheets>
    <sheet name="Zadanie 1" sheetId="1" r:id="rId1"/>
    <sheet name="Zadanie 2" sheetId="2" r:id="rId2"/>
  </sheets>
  <definedNames>
    <definedName name="_xlnm.Print_Area" localSheetId="0">'Zadanie 1'!$A$1:$N$70</definedName>
    <definedName name="_xlnm.Print_Area" localSheetId="1">'Zadanie 2'!$A$1:$N$31</definedName>
  </definedNames>
  <calcPr calcId="145621" calcMode="manual"/>
</workbook>
</file>

<file path=xl/calcChain.xml><?xml version="1.0" encoding="utf-8"?>
<calcChain xmlns="http://schemas.openxmlformats.org/spreadsheetml/2006/main">
  <c r="G65" i="1" l="1"/>
  <c r="G64" i="1"/>
  <c r="G63" i="1"/>
  <c r="G62" i="1"/>
  <c r="G61" i="1"/>
  <c r="G60" i="1"/>
  <c r="G59" i="1"/>
  <c r="G58" i="1"/>
  <c r="G57" i="1"/>
  <c r="G56" i="1"/>
  <c r="G55" i="1"/>
  <c r="G54" i="1"/>
  <c r="G52" i="1"/>
  <c r="G51" i="1"/>
  <c r="G50" i="1"/>
  <c r="G49" i="1"/>
  <c r="G48" i="1"/>
  <c r="G46" i="1"/>
  <c r="G45" i="1"/>
  <c r="G44" i="1"/>
  <c r="G43" i="1"/>
  <c r="G42" i="1"/>
  <c r="G40" i="1"/>
  <c r="G39" i="1"/>
  <c r="G37" i="1"/>
  <c r="G36" i="1"/>
  <c r="G35" i="1"/>
  <c r="G34" i="1"/>
  <c r="G33" i="1"/>
  <c r="G29" i="1"/>
  <c r="G28" i="1"/>
  <c r="G26" i="1"/>
  <c r="G25" i="1"/>
  <c r="G24" i="1"/>
  <c r="G23" i="1"/>
  <c r="G22" i="1"/>
  <c r="G21" i="1"/>
  <c r="G20" i="1"/>
  <c r="G19" i="1"/>
  <c r="G18" i="1"/>
  <c r="G17" i="1"/>
  <c r="G15" i="1"/>
  <c r="G14" i="1"/>
  <c r="G11" i="1"/>
  <c r="B69" i="1" l="1"/>
  <c r="B68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B39" i="1"/>
  <c r="F38" i="1"/>
  <c r="E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<sst xmlns="http://schemas.openxmlformats.org/spreadsheetml/2006/main" count="198" uniqueCount="125">
  <si>
    <t>Załącznik nr 1.1</t>
  </si>
  <si>
    <t>Nazwa (Firmy) Wykonawcy</t>
  </si>
  <si>
    <t>…........................................................</t>
  </si>
  <si>
    <t>FORMULARZ ASORTYMENTOWO CENOWY</t>
  </si>
  <si>
    <t>Lp.</t>
  </si>
  <si>
    <t>Jednostka Organizacyjna</t>
  </si>
  <si>
    <t>Nazwa urządzenia</t>
  </si>
  <si>
    <t>Model</t>
  </si>
  <si>
    <t>Nr Inwentarzowy</t>
  </si>
  <si>
    <t>Nr Seryjny</t>
  </si>
  <si>
    <t>Producent</t>
  </si>
  <si>
    <t>Rok Produkcji</t>
  </si>
  <si>
    <t>Cena za jeden przegląd netto</t>
  </si>
  <si>
    <t>Cena za jeden przegląd brutto</t>
  </si>
  <si>
    <t>Nr inwentarzowy</t>
  </si>
  <si>
    <t>Załącznik nr 1.2</t>
  </si>
  <si>
    <t>Wartość przeglądów
netto</t>
  </si>
  <si>
    <t>Wartość przeglądów brutto</t>
  </si>
  <si>
    <t xml:space="preserve">         Nazwa (Firmy) Wykonawcy</t>
  </si>
  <si>
    <t>VAT %</t>
  </si>
  <si>
    <t>Myjnia dezynfektor</t>
  </si>
  <si>
    <t>Oddział Okulistyczny</t>
  </si>
  <si>
    <t>Ilość przeglądów w okresie 24 miesięcy</t>
  </si>
  <si>
    <t>SOR - Szpitalny Oddzial Ratunkowy</t>
  </si>
  <si>
    <t>Autokeratorefraktometr</t>
  </si>
  <si>
    <t>GR-3100K</t>
  </si>
  <si>
    <t>008-0254-00001</t>
  </si>
  <si>
    <t>44AL0793</t>
  </si>
  <si>
    <t xml:space="preserve"> 	Grand Seiko</t>
  </si>
  <si>
    <t>Ośr. Retinopatii Wcześniaczej</t>
  </si>
  <si>
    <t>Autorefraktometr</t>
  </si>
  <si>
    <t>Retinomax K-Plus 3</t>
  </si>
  <si>
    <t>008-0254-00006</t>
  </si>
  <si>
    <t>RIGHT MFG. CO., LTD. - Ophthalmic Sales</t>
  </si>
  <si>
    <t>Lampa szczelinowa</t>
  </si>
  <si>
    <t>NSL-980X5</t>
  </si>
  <si>
    <t>008-0122-00012</t>
  </si>
  <si>
    <t>Vision Tech Ltd</t>
  </si>
  <si>
    <t>Laser okulistyczny do fotokoagulacji siatkówki</t>
  </si>
  <si>
    <t>EasyRet</t>
  </si>
  <si>
    <t>Angio OCT</t>
  </si>
  <si>
    <t>DRI OCT TRITON Plus</t>
  </si>
  <si>
    <t>Tonometr bezkontaktowy z wyposażeniem</t>
  </si>
  <si>
    <t>CT-80</t>
  </si>
  <si>
    <t>008-0267-00005</t>
  </si>
  <si>
    <t>Stolik elektroniczny</t>
  </si>
  <si>
    <t>MD-1N</t>
  </si>
  <si>
    <t>008-0122-00004</t>
  </si>
  <si>
    <t>1019L</t>
  </si>
  <si>
    <t>Topcon Polska Sp. z o. o.</t>
  </si>
  <si>
    <t>Stolik elektryczny</t>
  </si>
  <si>
    <t>NET-1</t>
  </si>
  <si>
    <t xml:space="preserve">	
008-0267-00002</t>
  </si>
  <si>
    <t>Stolik</t>
  </si>
  <si>
    <t>008-0122-00007</t>
  </si>
  <si>
    <t>znak postępowania Szp-241/ZP-073/2023</t>
  </si>
  <si>
    <t>Zadanie nr 1- Usługa serwisu technicznego urządzeń okulistycznych</t>
  </si>
  <si>
    <t>Zam. Oddział Rehab. Neurologicznej</t>
  </si>
  <si>
    <t>Myjnia dezynfektor CDD1050</t>
  </si>
  <si>
    <t xml:space="preserve"> CDD1050</t>
  </si>
  <si>
    <t>008-0270-00032</t>
  </si>
  <si>
    <t>1050830635307</t>
  </si>
  <si>
    <t>Lischka</t>
  </si>
  <si>
    <t>Oddział Położniczo-Ginekol</t>
  </si>
  <si>
    <t xml:space="preserve">BP 100 HAE </t>
  </si>
  <si>
    <t>008-0270-00019</t>
  </si>
  <si>
    <t>1304210</t>
  </si>
  <si>
    <t>Steelco S.p.A.</t>
  </si>
  <si>
    <t>Oddział Traumatologii, Chirurgii Ręki</t>
  </si>
  <si>
    <t>BP100 HLA</t>
  </si>
  <si>
    <t>008-0270-00024</t>
  </si>
  <si>
    <t>1500710KT075</t>
  </si>
  <si>
    <t>008-0270-00021</t>
  </si>
  <si>
    <t>150710AP001</t>
  </si>
  <si>
    <t>Oddział Chemioterapii</t>
  </si>
  <si>
    <t>BP100 HSE</t>
  </si>
  <si>
    <t>008-0270-00028</t>
  </si>
  <si>
    <t>1903E11E4341</t>
  </si>
  <si>
    <t>Oddział Chirurgii Ogólnej</t>
  </si>
  <si>
    <t>008-0270-00025</t>
  </si>
  <si>
    <t>1703E11G1186</t>
  </si>
  <si>
    <t>Oddział Kardiologiczny dla Dorosłych</t>
  </si>
  <si>
    <t>008-0270-00026</t>
  </si>
  <si>
    <t>1703E11G1187</t>
  </si>
  <si>
    <t>Oddział Kardiologiczny dla Dzieci</t>
  </si>
  <si>
    <t>008-0270-00022</t>
  </si>
  <si>
    <t>1400311BN088</t>
  </si>
  <si>
    <t>008-0270-00030</t>
  </si>
  <si>
    <t>203E11A4024</t>
  </si>
  <si>
    <t>Pododdz.Ginekologii Onkologicznej</t>
  </si>
  <si>
    <t>008-0270-00029</t>
  </si>
  <si>
    <t>1903E11E4336</t>
  </si>
  <si>
    <t>Oddział Chirurgii Naczyniowej</t>
  </si>
  <si>
    <t>Topline 20</t>
  </si>
  <si>
    <t>008-0270-00006</t>
  </si>
  <si>
    <t xml:space="preserve">10143832 </t>
  </si>
  <si>
    <t>Maico</t>
  </si>
  <si>
    <t>Oddział Chirurgii Onkologicznej</t>
  </si>
  <si>
    <t>008-0270-00004</t>
  </si>
  <si>
    <t xml:space="preserve">10112731 </t>
  </si>
  <si>
    <t>Oddział Chorób Wewnętrznych z Pododdziałem Angiologicznym</t>
  </si>
  <si>
    <t>008-0270-00009</t>
  </si>
  <si>
    <t xml:space="preserve">10151801 </t>
  </si>
  <si>
    <t>Oddział Otolaryngologii</t>
  </si>
  <si>
    <t>008-0270-00008</t>
  </si>
  <si>
    <t xml:space="preserve">10151802 </t>
  </si>
  <si>
    <t>Oddział Pediatryczny</t>
  </si>
  <si>
    <t>008-0270-00020</t>
  </si>
  <si>
    <t>10274065</t>
  </si>
  <si>
    <t>008-0270-00011</t>
  </si>
  <si>
    <t xml:space="preserve">10151800 </t>
  </si>
  <si>
    <t>008-0270-00007</t>
  </si>
  <si>
    <t xml:space="preserve">10143833 </t>
  </si>
  <si>
    <t>Oddział Urologiczny</t>
  </si>
  <si>
    <t>008-0270-00005</t>
  </si>
  <si>
    <t xml:space="preserve">10143836 </t>
  </si>
  <si>
    <t>Zam. Oddział Rehab. Ogól. II</t>
  </si>
  <si>
    <t>008-0270-00023</t>
  </si>
  <si>
    <t>10287055</t>
  </si>
  <si>
    <t>Zadanie nr 2 - Usługa serwisu technicznego myjni dezynfekatorów</t>
  </si>
  <si>
    <t>Huvitz</t>
  </si>
  <si>
    <t>Iridex</t>
  </si>
  <si>
    <t>QUANTEL MEDICAL</t>
  </si>
  <si>
    <t>Heidelberg Ing.</t>
  </si>
  <si>
    <t>Dorc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</si>
</sst>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Arial CE"/>
      <charset val="238"/>
    </font>
    <font>
      <sz val="11"/>
      <name val="Calibri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i/>
      <sz val="9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charset val="1"/>
    </font>
    <font>
      <sz val="11"/>
      <name val="Arial"/>
      <family val="2"/>
      <charset val="238"/>
    </font>
    <font>
      <b/>
      <i/>
      <u/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">
    <xf numFmtId="0" fontId="0" fillId="0" borderId="0"/>
    <xf numFmtId="0" fontId="1" fillId="0" borderId="0"/>
    <xf numFmtId="0" fontId="6" fillId="0" borderId="0"/>
    <xf numFmtId="0" fontId="7" fillId="0" borderId="0"/>
    <xf numFmtId="0" fontId="13" fillId="0" borderId="0"/>
    <xf numFmtId="9" fontId="13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6" fillId="0" borderId="0"/>
    <xf numFmtId="9" fontId="7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/>
    <xf numFmtId="0" fontId="4" fillId="0" borderId="0" xfId="1" applyFont="1"/>
    <xf numFmtId="0" fontId="5" fillId="0" borderId="0" xfId="0" applyFont="1"/>
    <xf numFmtId="0" fontId="4" fillId="0" borderId="0" xfId="1" applyFont="1" applyAlignment="1">
      <alignment horizontal="right"/>
    </xf>
    <xf numFmtId="0" fontId="8" fillId="0" borderId="0" xfId="1" applyFont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/>
    <xf numFmtId="0" fontId="11" fillId="0" borderId="0" xfId="1" applyFont="1"/>
    <xf numFmtId="0" fontId="9" fillId="0" borderId="1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/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19" fillId="2" borderId="1" xfId="0" applyFont="1" applyFill="1" applyBorder="1" applyAlignment="1">
      <alignment horizontal="center" vertical="center"/>
    </xf>
    <xf numFmtId="0" fontId="19" fillId="0" borderId="1" xfId="0" applyFont="1" applyBorder="1"/>
    <xf numFmtId="0" fontId="5" fillId="0" borderId="1" xfId="0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 wrapText="1"/>
    </xf>
    <xf numFmtId="0" fontId="11" fillId="0" borderId="0" xfId="1" applyFont="1" applyAlignment="1">
      <alignment horizontal="left" wrapText="1"/>
    </xf>
  </cellXfs>
  <cellStyles count="11">
    <cellStyle name="Normalny" xfId="0" builtinId="0"/>
    <cellStyle name="Normalny 2" xfId="1"/>
    <cellStyle name="Normalny 3" xfId="2"/>
    <cellStyle name="Normalny 4" xfId="3"/>
    <cellStyle name="Normalny 4 2" xfId="6"/>
    <cellStyle name="Normalny 5" xfId="4"/>
    <cellStyle name="Normalny 6" xfId="9"/>
    <cellStyle name="Procentowy 2" xfId="5"/>
    <cellStyle name="Procentowy 2 2" xfId="7"/>
    <cellStyle name="Procentowy 3" xfId="10"/>
    <cellStyle name="Walutowy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abSelected="1" view="pageBreakPreview" zoomScaleNormal="100" zoomScaleSheetLayoutView="100" workbookViewId="0">
      <selection activeCell="E65" sqref="E65"/>
    </sheetView>
  </sheetViews>
  <sheetFormatPr defaultRowHeight="14.4" x14ac:dyDescent="0.3"/>
  <cols>
    <col min="1" max="1" width="6.109375" customWidth="1"/>
    <col min="2" max="2" width="22.5546875" customWidth="1"/>
    <col min="3" max="3" width="18.44140625" customWidth="1"/>
    <col min="4" max="4" width="14.88671875" customWidth="1"/>
    <col min="5" max="5" width="16.5546875" customWidth="1"/>
    <col min="6" max="6" width="21.21875" customWidth="1"/>
    <col min="7" max="7" width="23.33203125" bestFit="1" customWidth="1"/>
    <col min="8" max="8" width="10.109375" customWidth="1"/>
    <col min="9" max="9" width="11.88671875" customWidth="1"/>
    <col min="10" max="10" width="13.33203125" customWidth="1"/>
    <col min="11" max="11" width="11.5546875" customWidth="1"/>
    <col min="12" max="12" width="7.109375" customWidth="1"/>
    <col min="13" max="13" width="13.33203125" customWidth="1"/>
    <col min="14" max="14" width="11.88671875" customWidth="1"/>
  </cols>
  <sheetData>
    <row r="1" spans="1:14" x14ac:dyDescent="0.3">
      <c r="A1" s="1"/>
      <c r="B1" s="1"/>
      <c r="C1" s="2"/>
      <c r="D1" s="2"/>
      <c r="E1" s="2"/>
      <c r="F1" s="2"/>
      <c r="K1" s="1"/>
      <c r="L1" s="2"/>
      <c r="M1" s="2"/>
      <c r="N1" s="9" t="s">
        <v>0</v>
      </c>
    </row>
    <row r="2" spans="1:14" x14ac:dyDescent="0.3">
      <c r="A2" s="3"/>
      <c r="B2" s="3"/>
      <c r="C2" s="4"/>
      <c r="D2" s="4"/>
      <c r="E2" s="4"/>
      <c r="F2" s="4"/>
      <c r="K2" s="3"/>
      <c r="L2" s="4"/>
      <c r="M2" s="2"/>
      <c r="N2" s="9" t="s">
        <v>55</v>
      </c>
    </row>
    <row r="3" spans="1:14" ht="15" x14ac:dyDescent="0.25">
      <c r="A3" s="1"/>
      <c r="B3" s="5" t="s">
        <v>1</v>
      </c>
      <c r="C3" s="2"/>
      <c r="D3" s="2"/>
      <c r="E3" s="2"/>
      <c r="F3" s="2"/>
      <c r="K3" s="1"/>
      <c r="L3" s="2"/>
      <c r="M3" s="2"/>
      <c r="N3" s="9"/>
    </row>
    <row r="4" spans="1:14" x14ac:dyDescent="0.3">
      <c r="A4" s="1"/>
      <c r="B4" s="1" t="s">
        <v>2</v>
      </c>
      <c r="C4" s="2"/>
      <c r="D4" s="2"/>
      <c r="E4" s="2"/>
      <c r="F4" s="2"/>
      <c r="K4" s="1"/>
      <c r="L4" s="1"/>
      <c r="M4" s="1"/>
    </row>
    <row r="5" spans="1:14" ht="15" x14ac:dyDescent="0.25">
      <c r="A5" s="1"/>
      <c r="B5" s="1"/>
      <c r="C5" s="2"/>
      <c r="D5" s="2"/>
      <c r="E5" s="2"/>
      <c r="F5" s="2"/>
      <c r="G5" s="1"/>
      <c r="H5" s="1"/>
      <c r="I5" s="1"/>
      <c r="J5" s="2"/>
      <c r="K5" s="2"/>
    </row>
    <row r="6" spans="1:14" ht="15" x14ac:dyDescent="0.25">
      <c r="A6" s="6"/>
      <c r="B6" s="7"/>
      <c r="F6" s="17" t="s">
        <v>3</v>
      </c>
      <c r="G6" s="6"/>
      <c r="H6" s="6"/>
      <c r="I6" s="6"/>
      <c r="J6" s="6"/>
      <c r="K6" s="8"/>
    </row>
    <row r="7" spans="1:14" x14ac:dyDescent="0.3">
      <c r="A7" s="42" t="s">
        <v>56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9" spans="1:14" ht="55.2" x14ac:dyDescent="0.3">
      <c r="A9" s="11" t="s">
        <v>4</v>
      </c>
      <c r="B9" s="11" t="s">
        <v>5</v>
      </c>
      <c r="C9" s="11" t="s">
        <v>6</v>
      </c>
      <c r="D9" s="11" t="s">
        <v>7</v>
      </c>
      <c r="E9" s="11" t="s">
        <v>8</v>
      </c>
      <c r="F9" s="11" t="s">
        <v>9</v>
      </c>
      <c r="G9" s="11" t="s">
        <v>10</v>
      </c>
      <c r="H9" s="11" t="s">
        <v>11</v>
      </c>
      <c r="I9" s="27" t="s">
        <v>22</v>
      </c>
      <c r="J9" s="12" t="s">
        <v>12</v>
      </c>
      <c r="K9" s="13" t="s">
        <v>16</v>
      </c>
      <c r="L9" s="13" t="s">
        <v>19</v>
      </c>
      <c r="M9" s="14" t="s">
        <v>13</v>
      </c>
      <c r="N9" s="14" t="s">
        <v>17</v>
      </c>
    </row>
    <row r="10" spans="1:14" x14ac:dyDescent="0.3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1">
        <v>14</v>
      </c>
    </row>
    <row r="11" spans="1:14" ht="28.8" x14ac:dyDescent="0.3">
      <c r="A11" s="15">
        <v>1</v>
      </c>
      <c r="B11" s="30" t="str">
        <f>"Oddział Okulistyczny"</f>
        <v>Oddział Okulistyczny</v>
      </c>
      <c r="C11" s="28" t="str">
        <f>"Aparat USG okulistyczny"</f>
        <v>Aparat USG okulistyczny</v>
      </c>
      <c r="D11" s="28" t="str">
        <f>"ABSOLU"</f>
        <v>ABSOLU</v>
      </c>
      <c r="E11" s="31" t="str">
        <f>"008-0030-00078"</f>
        <v>008-0030-00078</v>
      </c>
      <c r="F11" s="31" t="str">
        <f>"187"</f>
        <v>187</v>
      </c>
      <c r="G11" s="31" t="str">
        <f>"QUANTEL MEDICAL"</f>
        <v>QUANTEL MEDICAL</v>
      </c>
      <c r="H11" s="31">
        <v>2019</v>
      </c>
      <c r="I11" s="31">
        <v>2</v>
      </c>
      <c r="J11" s="15"/>
      <c r="K11" s="18"/>
      <c r="L11" s="18"/>
      <c r="M11" s="18"/>
      <c r="N11" s="18"/>
    </row>
    <row r="12" spans="1:14" ht="28.8" x14ac:dyDescent="0.3">
      <c r="A12" s="15">
        <v>2</v>
      </c>
      <c r="B12" s="26" t="s">
        <v>23</v>
      </c>
      <c r="C12" s="28" t="s">
        <v>24</v>
      </c>
      <c r="D12" s="28" t="s">
        <v>25</v>
      </c>
      <c r="E12" s="28" t="s">
        <v>26</v>
      </c>
      <c r="F12" s="28" t="s">
        <v>27</v>
      </c>
      <c r="G12" s="28" t="s">
        <v>28</v>
      </c>
      <c r="H12" s="28">
        <v>2005</v>
      </c>
      <c r="I12" s="31">
        <v>2</v>
      </c>
      <c r="J12" s="15"/>
      <c r="K12" s="18"/>
      <c r="L12" s="18"/>
      <c r="M12" s="18"/>
      <c r="N12" s="18"/>
    </row>
    <row r="13" spans="1:14" x14ac:dyDescent="0.3">
      <c r="A13" s="15">
        <v>3</v>
      </c>
      <c r="B13" s="30" t="str">
        <f>"Poradnia Okulistyczna"</f>
        <v>Poradnia Okulistyczna</v>
      </c>
      <c r="C13" s="28" t="str">
        <f>"Autorefraktometr"</f>
        <v>Autorefraktometr</v>
      </c>
      <c r="D13" s="28" t="str">
        <f>"HRK-8000A"</f>
        <v>HRK-8000A</v>
      </c>
      <c r="E13" s="31" t="str">
        <f>"008-0254-00007"</f>
        <v>008-0254-00007</v>
      </c>
      <c r="F13" s="31" t="str">
        <f>"8HA08A16K0039"</f>
        <v>8HA08A16K0039</v>
      </c>
      <c r="G13" t="s">
        <v>120</v>
      </c>
      <c r="H13" s="31">
        <v>2016</v>
      </c>
      <c r="I13" s="31">
        <v>2</v>
      </c>
      <c r="J13" s="15"/>
      <c r="K13" s="18"/>
      <c r="L13" s="18"/>
      <c r="M13" s="18"/>
      <c r="N13" s="18"/>
    </row>
    <row r="14" spans="1:14" x14ac:dyDescent="0.3">
      <c r="A14" s="15">
        <v>4</v>
      </c>
      <c r="B14" s="30" t="str">
        <f>"Oddział Okulistyczny"</f>
        <v>Oddział Okulistyczny</v>
      </c>
      <c r="C14" s="28" t="str">
        <f>"Autorefraktometr"</f>
        <v>Autorefraktometr</v>
      </c>
      <c r="D14" s="28" t="str">
        <f>"KR-8900"</f>
        <v>KR-8900</v>
      </c>
      <c r="E14" s="31" t="str">
        <f>"008-0254-00003"</f>
        <v>008-0254-00003</v>
      </c>
      <c r="F14" s="31" t="str">
        <f>"4363435"</f>
        <v>4363435</v>
      </c>
      <c r="G14" s="31" t="str">
        <f>"Topcon Polska Sp. z o. o."</f>
        <v>Topcon Polska Sp. z o. o.</v>
      </c>
      <c r="H14" s="31">
        <v>2010</v>
      </c>
      <c r="I14" s="31">
        <v>2</v>
      </c>
      <c r="J14" s="15"/>
      <c r="K14" s="18"/>
      <c r="L14" s="18"/>
      <c r="M14" s="18"/>
      <c r="N14" s="18"/>
    </row>
    <row r="15" spans="1:14" x14ac:dyDescent="0.3">
      <c r="A15" s="15">
        <v>5</v>
      </c>
      <c r="B15" s="30" t="str">
        <f>"Poradnia Okulistyczna"</f>
        <v>Poradnia Okulistyczna</v>
      </c>
      <c r="C15" s="28" t="str">
        <f>"Autorefraktometr"</f>
        <v>Autorefraktometr</v>
      </c>
      <c r="D15" s="28" t="str">
        <f>"RM-8800"</f>
        <v>RM-8800</v>
      </c>
      <c r="E15" s="31" t="str">
        <f>"008-0254-00002"</f>
        <v>008-0254-00002</v>
      </c>
      <c r="F15" s="31" t="str">
        <f>"4014149"</f>
        <v>4014149</v>
      </c>
      <c r="G15" s="31" t="str">
        <f>"Topcon Polska Sp. z o. o."</f>
        <v>Topcon Polska Sp. z o. o.</v>
      </c>
      <c r="H15" s="31">
        <v>2006</v>
      </c>
      <c r="I15" s="31">
        <v>2</v>
      </c>
      <c r="J15" s="15"/>
      <c r="K15" s="18"/>
      <c r="L15" s="18"/>
      <c r="M15" s="18"/>
      <c r="N15" s="18"/>
    </row>
    <row r="16" spans="1:14" ht="28.8" x14ac:dyDescent="0.3">
      <c r="A16" s="15">
        <v>6</v>
      </c>
      <c r="B16" s="26" t="s">
        <v>29</v>
      </c>
      <c r="C16" s="28" t="s">
        <v>30</v>
      </c>
      <c r="D16" s="28" t="s">
        <v>31</v>
      </c>
      <c r="E16" s="28" t="s">
        <v>32</v>
      </c>
      <c r="F16" s="28">
        <v>2203046</v>
      </c>
      <c r="G16" s="31" t="s">
        <v>33</v>
      </c>
      <c r="H16" s="28">
        <v>2014</v>
      </c>
      <c r="I16" s="31">
        <v>2</v>
      </c>
      <c r="J16" s="15"/>
      <c r="K16" s="18"/>
      <c r="L16" s="18"/>
      <c r="M16" s="18"/>
      <c r="N16" s="18"/>
    </row>
    <row r="17" spans="1:14" x14ac:dyDescent="0.3">
      <c r="A17" s="15">
        <v>7</v>
      </c>
      <c r="B17" s="30" t="str">
        <f t="shared" ref="B17:B20" si="0">"Oddział Okulistyczny"</f>
        <v>Oddział Okulistyczny</v>
      </c>
      <c r="C17" s="28" t="str">
        <f>"Autorefraktometr"</f>
        <v>Autorefraktometr</v>
      </c>
      <c r="D17" s="28" t="str">
        <f>"TOPCON KR-800"</f>
        <v>TOPCON KR-800</v>
      </c>
      <c r="E17" s="31" t="str">
        <f>"008-0254-00005"</f>
        <v>008-0254-00005</v>
      </c>
      <c r="F17" s="31" t="str">
        <f>"4731839"</f>
        <v>4731839</v>
      </c>
      <c r="G17" s="31" t="str">
        <f>"Topcon Polska Sp. z o. o."</f>
        <v>Topcon Polska Sp. z o. o.</v>
      </c>
      <c r="H17" s="31">
        <v>2014</v>
      </c>
      <c r="I17" s="31">
        <v>2</v>
      </c>
      <c r="J17" s="15"/>
      <c r="K17" s="18"/>
      <c r="L17" s="18"/>
      <c r="M17" s="18"/>
      <c r="N17" s="18"/>
    </row>
    <row r="18" spans="1:14" ht="28.8" x14ac:dyDescent="0.3">
      <c r="A18" s="15">
        <v>8</v>
      </c>
      <c r="B18" s="30" t="str">
        <f t="shared" si="0"/>
        <v>Oddział Okulistyczny</v>
      </c>
      <c r="C18" s="28" t="str">
        <f>"Funduskamera z angiografem"</f>
        <v>Funduskamera z angiografem</v>
      </c>
      <c r="D18" s="28" t="str">
        <f>"TRC-NW7SF ICG MARK II"</f>
        <v>TRC-NW7SF ICG MARK II</v>
      </c>
      <c r="E18" s="31" t="str">
        <f>"008-0365-00001"</f>
        <v>008-0365-00001</v>
      </c>
      <c r="F18" s="31" t="str">
        <f>"677246"</f>
        <v>677246</v>
      </c>
      <c r="G18" s="31" t="str">
        <f>"Topcon Polska Sp. z o. o."</f>
        <v>Topcon Polska Sp. z o. o.</v>
      </c>
      <c r="H18" s="31">
        <v>2010</v>
      </c>
      <c r="I18" s="31">
        <v>2</v>
      </c>
      <c r="J18" s="15"/>
      <c r="K18" s="18"/>
      <c r="L18" s="18"/>
      <c r="M18" s="18"/>
      <c r="N18" s="18"/>
    </row>
    <row r="19" spans="1:14" x14ac:dyDescent="0.3">
      <c r="A19" s="15">
        <v>9</v>
      </c>
      <c r="B19" s="30" t="str">
        <f t="shared" si="0"/>
        <v>Oddział Okulistyczny</v>
      </c>
      <c r="C19" s="28" t="str">
        <f t="shared" ref="C19:C28" si="1">"Lampa szczelinowa"</f>
        <v>Lampa szczelinowa</v>
      </c>
      <c r="D19" s="28" t="str">
        <f>"L-0187"</f>
        <v>L-0187</v>
      </c>
      <c r="E19" s="31" t="str">
        <f>"008-0122-00004"</f>
        <v>008-0122-00004</v>
      </c>
      <c r="F19" s="31" t="str">
        <f>"J00726"</f>
        <v>J00726</v>
      </c>
      <c r="G19" s="31" t="str">
        <f>"Inami Optical Instruments"</f>
        <v>Inami Optical Instruments</v>
      </c>
      <c r="H19" s="31">
        <v>2004</v>
      </c>
      <c r="I19" s="31">
        <v>2</v>
      </c>
      <c r="J19" s="15"/>
      <c r="K19" s="18"/>
      <c r="L19" s="18"/>
      <c r="M19" s="18"/>
      <c r="N19" s="18"/>
    </row>
    <row r="20" spans="1:14" x14ac:dyDescent="0.3">
      <c r="A20" s="15">
        <v>10</v>
      </c>
      <c r="B20" s="30" t="str">
        <f t="shared" si="0"/>
        <v>Oddział Okulistyczny</v>
      </c>
      <c r="C20" s="28" t="str">
        <f t="shared" si="1"/>
        <v>Lampa szczelinowa</v>
      </c>
      <c r="D20" s="28" t="str">
        <f>"SL115 Classic "</f>
        <v xml:space="preserve">SL115 Classic </v>
      </c>
      <c r="E20" s="31" t="str">
        <f>"008-0122-00014"</f>
        <v>008-0122-00014</v>
      </c>
      <c r="F20" s="31" t="str">
        <f>"1210951"</f>
        <v>1210951</v>
      </c>
      <c r="G20" s="31" t="str">
        <f>"Carl Zeiss"</f>
        <v>Carl Zeiss</v>
      </c>
      <c r="H20" s="31">
        <v>2019</v>
      </c>
      <c r="I20" s="31">
        <v>2</v>
      </c>
      <c r="J20" s="20"/>
      <c r="K20" s="19"/>
      <c r="L20" s="19"/>
      <c r="M20" s="19"/>
      <c r="N20" s="19"/>
    </row>
    <row r="21" spans="1:14" x14ac:dyDescent="0.3">
      <c r="A21" s="15">
        <v>11</v>
      </c>
      <c r="B21" s="30" t="str">
        <f>"Poradnia Okulistyczna"</f>
        <v>Poradnia Okulistyczna</v>
      </c>
      <c r="C21" s="28" t="str">
        <f t="shared" si="1"/>
        <v>Lampa szczelinowa</v>
      </c>
      <c r="D21" s="28" t="str">
        <f>"SL-1E"</f>
        <v>SL-1E</v>
      </c>
      <c r="E21" s="31" t="str">
        <f>"008-0122-00003"</f>
        <v>008-0122-00003</v>
      </c>
      <c r="F21" s="31" t="str">
        <f>"614795"</f>
        <v>614795</v>
      </c>
      <c r="G21" s="31" t="str">
        <f t="shared" ref="G21:G26" si="2">"Topcon Polska Sp. z o. o."</f>
        <v>Topcon Polska Sp. z o. o.</v>
      </c>
      <c r="H21" s="31">
        <v>1996</v>
      </c>
      <c r="I21" s="31">
        <v>2</v>
      </c>
      <c r="J21" s="15"/>
      <c r="K21" s="18"/>
      <c r="L21" s="18"/>
      <c r="M21" s="18"/>
      <c r="N21" s="18"/>
    </row>
    <row r="22" spans="1:14" x14ac:dyDescent="0.3">
      <c r="A22" s="15">
        <v>12</v>
      </c>
      <c r="B22" s="30" t="str">
        <f>"Oddział Okulistyczny"</f>
        <v>Oddział Okulistyczny</v>
      </c>
      <c r="C22" s="28" t="str">
        <f t="shared" si="1"/>
        <v>Lampa szczelinowa</v>
      </c>
      <c r="D22" s="28" t="str">
        <f>"SL-85"</f>
        <v>SL-85</v>
      </c>
      <c r="E22" s="31" t="str">
        <f>"008-0122-00009"</f>
        <v>008-0122-00009</v>
      </c>
      <c r="F22" s="31" t="str">
        <f>"07110080"</f>
        <v>07110080</v>
      </c>
      <c r="G22" s="31" t="str">
        <f t="shared" si="2"/>
        <v>Topcon Polska Sp. z o. o.</v>
      </c>
      <c r="H22" s="31">
        <v>2008</v>
      </c>
      <c r="I22" s="31">
        <v>2</v>
      </c>
      <c r="J22" s="22"/>
      <c r="K22" s="23"/>
      <c r="L22" s="23"/>
      <c r="M22" s="23"/>
      <c r="N22" s="23"/>
    </row>
    <row r="23" spans="1:14" x14ac:dyDescent="0.3">
      <c r="A23" s="15">
        <v>13</v>
      </c>
      <c r="B23" s="30" t="str">
        <f>"Oddział Okulistyczny"</f>
        <v>Oddział Okulistyczny</v>
      </c>
      <c r="C23" s="28" t="str">
        <f t="shared" si="1"/>
        <v>Lampa szczelinowa</v>
      </c>
      <c r="D23" s="28" t="str">
        <f>"SL-85"</f>
        <v>SL-85</v>
      </c>
      <c r="E23" s="31" t="str">
        <f>"008-0122-00008"</f>
        <v>008-0122-00008</v>
      </c>
      <c r="F23" s="31" t="str">
        <f>"07110079"</f>
        <v>07110079</v>
      </c>
      <c r="G23" s="31" t="str">
        <f t="shared" si="2"/>
        <v>Topcon Polska Sp. z o. o.</v>
      </c>
      <c r="H23" s="31">
        <v>2008</v>
      </c>
      <c r="I23" s="31">
        <v>2</v>
      </c>
      <c r="J23" s="23"/>
      <c r="K23" s="23"/>
      <c r="L23" s="23"/>
      <c r="M23" s="23"/>
      <c r="N23" s="23"/>
    </row>
    <row r="24" spans="1:14" x14ac:dyDescent="0.3">
      <c r="A24" s="15">
        <v>14</v>
      </c>
      <c r="B24" s="30" t="str">
        <f>"Poradnia Okulistyczna"</f>
        <v>Poradnia Okulistyczna</v>
      </c>
      <c r="C24" s="28" t="str">
        <f t="shared" si="1"/>
        <v>Lampa szczelinowa</v>
      </c>
      <c r="D24" s="28" t="str">
        <f>"SL-85"</f>
        <v>SL-85</v>
      </c>
      <c r="E24" s="31" t="str">
        <f>"008-0122-00011"</f>
        <v>008-0122-00011</v>
      </c>
      <c r="F24" s="31" t="str">
        <f>"07110071 "</f>
        <v xml:space="preserve">07110071 </v>
      </c>
      <c r="G24" s="31" t="str">
        <f t="shared" si="2"/>
        <v>Topcon Polska Sp. z o. o.</v>
      </c>
      <c r="H24" s="31">
        <v>2008</v>
      </c>
      <c r="I24" s="31">
        <v>2</v>
      </c>
      <c r="J24" s="23"/>
      <c r="K24" s="23"/>
      <c r="L24" s="23"/>
      <c r="M24" s="23"/>
      <c r="N24" s="23"/>
    </row>
    <row r="25" spans="1:14" x14ac:dyDescent="0.3">
      <c r="A25" s="15">
        <v>15</v>
      </c>
      <c r="B25" s="30" t="str">
        <f>"Oddział Okulistyczny"</f>
        <v>Oddział Okulistyczny</v>
      </c>
      <c r="C25" s="28" t="str">
        <f t="shared" si="1"/>
        <v>Lampa szczelinowa</v>
      </c>
      <c r="D25" s="28" t="str">
        <f>"SL-D4"</f>
        <v>SL-D4</v>
      </c>
      <c r="E25" s="31" t="str">
        <f>"008-0122-00010"</f>
        <v>008-0122-00010</v>
      </c>
      <c r="F25" s="31" t="str">
        <f>"401834 "</f>
        <v xml:space="preserve">401834 </v>
      </c>
      <c r="G25" s="31" t="str">
        <f t="shared" si="2"/>
        <v>Topcon Polska Sp. z o. o.</v>
      </c>
      <c r="H25" s="31">
        <v>2008</v>
      </c>
      <c r="I25" s="31">
        <v>2</v>
      </c>
      <c r="J25" s="23"/>
      <c r="K25" s="23"/>
      <c r="L25" s="23"/>
      <c r="M25" s="23"/>
      <c r="N25" s="23"/>
    </row>
    <row r="26" spans="1:14" x14ac:dyDescent="0.3">
      <c r="A26" s="15">
        <v>16</v>
      </c>
      <c r="B26" s="30" t="str">
        <f>"Oddział Okulistyczny"</f>
        <v>Oddział Okulistyczny</v>
      </c>
      <c r="C26" s="28" t="str">
        <f t="shared" si="1"/>
        <v>Lampa szczelinowa</v>
      </c>
      <c r="D26" s="28" t="str">
        <f>"SL-D7"</f>
        <v>SL-D7</v>
      </c>
      <c r="E26" s="31" t="str">
        <f>"008-0122-00007"</f>
        <v>008-0122-00007</v>
      </c>
      <c r="F26" s="31" t="str">
        <f>"702281"</f>
        <v>702281</v>
      </c>
      <c r="G26" s="31" t="str">
        <f t="shared" si="2"/>
        <v>Topcon Polska Sp. z o. o.</v>
      </c>
      <c r="H26" s="31">
        <v>2007</v>
      </c>
      <c r="I26" s="31">
        <v>2</v>
      </c>
      <c r="J26" s="23"/>
      <c r="K26" s="23"/>
      <c r="L26" s="23"/>
      <c r="M26" s="23"/>
      <c r="N26" s="23"/>
    </row>
    <row r="27" spans="1:14" ht="28.8" x14ac:dyDescent="0.3">
      <c r="A27" s="15">
        <v>17</v>
      </c>
      <c r="B27" s="26" t="s">
        <v>23</v>
      </c>
      <c r="C27" s="28" t="s">
        <v>34</v>
      </c>
      <c r="D27" s="28" t="s">
        <v>35</v>
      </c>
      <c r="E27" s="28" t="s">
        <v>36</v>
      </c>
      <c r="F27" s="28">
        <v>4731011</v>
      </c>
      <c r="G27" s="31" t="s">
        <v>37</v>
      </c>
      <c r="H27" s="28">
        <v>2010</v>
      </c>
      <c r="I27" s="31">
        <v>2</v>
      </c>
      <c r="J27" s="23"/>
      <c r="K27" s="23"/>
      <c r="L27" s="23"/>
      <c r="M27" s="23"/>
      <c r="N27" s="23"/>
    </row>
    <row r="28" spans="1:14" x14ac:dyDescent="0.3">
      <c r="A28" s="15">
        <v>18</v>
      </c>
      <c r="B28" s="30" t="str">
        <f>"Poradnia Okulistyczna"</f>
        <v>Poradnia Okulistyczna</v>
      </c>
      <c r="C28" s="28" t="str">
        <f t="shared" si="1"/>
        <v>Lampa szczelinowa</v>
      </c>
      <c r="D28" s="28" t="str">
        <f>"SM-4N"</f>
        <v>SM-4N</v>
      </c>
      <c r="E28" s="31" t="str">
        <f>"008-0122-00013"</f>
        <v>008-0122-00013</v>
      </c>
      <c r="F28" s="31" t="str">
        <f>"0111813"</f>
        <v>0111813</v>
      </c>
      <c r="G28" s="31" t="str">
        <f>"Takagi Seiko"</f>
        <v>Takagi Seiko</v>
      </c>
      <c r="H28" s="31">
        <v>2011</v>
      </c>
      <c r="I28" s="31">
        <v>2</v>
      </c>
      <c r="J28" s="23"/>
      <c r="K28" s="23"/>
      <c r="L28" s="23"/>
      <c r="M28" s="23"/>
      <c r="N28" s="23"/>
    </row>
    <row r="29" spans="1:14" x14ac:dyDescent="0.3">
      <c r="A29" s="15">
        <v>19</v>
      </c>
      <c r="B29" s="30" t="str">
        <f t="shared" ref="B29:B48" si="3">"Oddział Okulistyczny"</f>
        <v>Oddział Okulistyczny</v>
      </c>
      <c r="C29" s="28" t="str">
        <f>"Laser okulistyczny"</f>
        <v>Laser okulistyczny</v>
      </c>
      <c r="D29" s="28" t="str">
        <f>"Lpulsa 9000"</f>
        <v>Lpulsa 9000</v>
      </c>
      <c r="E29" s="31" t="str">
        <f>"008-0226-00004"</f>
        <v>008-0226-00004</v>
      </c>
      <c r="F29" s="31" t="str">
        <f>"YA 36-9954"</f>
        <v>YA 36-9954</v>
      </c>
      <c r="G29" s="31" t="str">
        <f>"Lightmed Co."</f>
        <v>Lightmed Co.</v>
      </c>
      <c r="H29" s="31">
        <v>2010</v>
      </c>
      <c r="I29" s="31">
        <v>2</v>
      </c>
      <c r="J29" s="23"/>
      <c r="K29" s="23"/>
      <c r="L29" s="23"/>
      <c r="M29" s="23"/>
      <c r="N29" s="23"/>
    </row>
    <row r="30" spans="1:14" x14ac:dyDescent="0.3">
      <c r="A30" s="15">
        <v>20</v>
      </c>
      <c r="B30" s="30" t="str">
        <f t="shared" si="3"/>
        <v>Oddział Okulistyczny</v>
      </c>
      <c r="C30" s="28" t="str">
        <f>"Laser okulistyczny"</f>
        <v>Laser okulistyczny</v>
      </c>
      <c r="D30" s="28" t="str">
        <f>"OcuLight GL 532"</f>
        <v>OcuLight GL 532</v>
      </c>
      <c r="E30" s="31" t="str">
        <f>"008-0226-00003"</f>
        <v>008-0226-00003</v>
      </c>
      <c r="F30" s="31" t="str">
        <f>"GL16451F30"</f>
        <v>GL16451F30</v>
      </c>
      <c r="G30" s="31" t="s">
        <v>121</v>
      </c>
      <c r="H30" s="31">
        <v>2007</v>
      </c>
      <c r="I30" s="31">
        <v>2</v>
      </c>
      <c r="J30" s="23"/>
      <c r="K30" s="23"/>
      <c r="L30" s="23"/>
      <c r="M30" s="23"/>
      <c r="N30" s="23"/>
    </row>
    <row r="31" spans="1:14" ht="28.8" x14ac:dyDescent="0.3">
      <c r="A31" s="15">
        <v>21</v>
      </c>
      <c r="B31" s="30" t="str">
        <f t="shared" si="3"/>
        <v>Oddział Okulistyczny</v>
      </c>
      <c r="C31" s="28" t="str">
        <f>"Laser okulistyczny"</f>
        <v>Laser okulistyczny</v>
      </c>
      <c r="D31" s="28" t="str">
        <f>"OcuLight SLX-System"</f>
        <v>OcuLight SLX-System</v>
      </c>
      <c r="E31" s="31" t="str">
        <f>"008-0226-00002"</f>
        <v>008-0226-00002</v>
      </c>
      <c r="F31" s="31" t="str">
        <f>"13030-220 / 28837-LS"</f>
        <v>13030-220 / 28837-LS</v>
      </c>
      <c r="G31" s="31" t="s">
        <v>121</v>
      </c>
      <c r="H31" s="31">
        <v>2006</v>
      </c>
      <c r="I31" s="31">
        <v>2</v>
      </c>
      <c r="J31" s="23"/>
      <c r="K31" s="23"/>
      <c r="L31" s="23"/>
      <c r="M31" s="23"/>
      <c r="N31" s="23"/>
    </row>
    <row r="32" spans="1:14" x14ac:dyDescent="0.3">
      <c r="A32" s="15">
        <v>22</v>
      </c>
      <c r="B32" s="30" t="str">
        <f t="shared" si="3"/>
        <v>Oddział Okulistyczny</v>
      </c>
      <c r="C32" s="28" t="str">
        <f>"Laser okulistyczny"</f>
        <v>Laser okulistyczny</v>
      </c>
      <c r="D32" s="28" t="str">
        <f>"SLx Iridex"</f>
        <v>SLx Iridex</v>
      </c>
      <c r="E32" s="31" t="str">
        <f>"008-0226-00005"</f>
        <v>008-0226-00005</v>
      </c>
      <c r="F32" s="31" t="str">
        <f>"29564-LS"</f>
        <v>29564-LS</v>
      </c>
      <c r="G32" s="31" t="s">
        <v>121</v>
      </c>
      <c r="H32" s="31">
        <v>2015</v>
      </c>
      <c r="I32" s="31">
        <v>2</v>
      </c>
      <c r="J32" s="23"/>
      <c r="K32" s="23"/>
      <c r="L32" s="23"/>
      <c r="M32" s="23"/>
      <c r="N32" s="23"/>
    </row>
    <row r="33" spans="1:14" x14ac:dyDescent="0.3">
      <c r="A33" s="15">
        <v>23</v>
      </c>
      <c r="B33" s="30" t="str">
        <f t="shared" si="3"/>
        <v>Oddział Okulistyczny</v>
      </c>
      <c r="C33" s="28" t="str">
        <f>"Mikroskop"</f>
        <v>Mikroskop</v>
      </c>
      <c r="D33" s="28" t="str">
        <f>"OSM - 600"</f>
        <v>OSM - 600</v>
      </c>
      <c r="E33" s="31" t="str">
        <f>"008-0037-00006"</f>
        <v>008-0037-00006</v>
      </c>
      <c r="F33" s="31" t="str">
        <f>"051102"</f>
        <v>051102</v>
      </c>
      <c r="G33" s="31" t="str">
        <f>"Topcon Polska Sp. z o. o."</f>
        <v>Topcon Polska Sp. z o. o.</v>
      </c>
      <c r="H33" s="31">
        <v>1994</v>
      </c>
      <c r="I33" s="31">
        <v>2</v>
      </c>
      <c r="J33" s="23"/>
      <c r="K33" s="23"/>
      <c r="L33" s="23"/>
      <c r="M33" s="23"/>
      <c r="N33" s="23"/>
    </row>
    <row r="34" spans="1:14" ht="43.2" x14ac:dyDescent="0.3">
      <c r="A34" s="15">
        <v>24</v>
      </c>
      <c r="B34" s="30" t="str">
        <f t="shared" si="3"/>
        <v>Oddział Okulistyczny</v>
      </c>
      <c r="C34" s="28" t="str">
        <f>"Mikroskop okulistyczny-operacyjny"</f>
        <v>Mikroskop okulistyczny-operacyjny</v>
      </c>
      <c r="D34" s="28" t="str">
        <f>"Hi-R 900"</f>
        <v>Hi-R 900</v>
      </c>
      <c r="E34" s="31" t="str">
        <f>"008-0037-00011"</f>
        <v>008-0037-00011</v>
      </c>
      <c r="F34" s="31" t="str">
        <f>"2316"</f>
        <v>2316</v>
      </c>
      <c r="G34" s="31" t="str">
        <f>"Möller-Wedel"</f>
        <v>Möller-Wedel</v>
      </c>
      <c r="H34" s="31">
        <v>2005</v>
      </c>
      <c r="I34" s="31">
        <v>2</v>
      </c>
      <c r="J34" s="23"/>
      <c r="K34" s="23"/>
      <c r="L34" s="23"/>
      <c r="M34" s="23"/>
      <c r="N34" s="23"/>
    </row>
    <row r="35" spans="1:14" ht="43.2" x14ac:dyDescent="0.3">
      <c r="A35" s="15">
        <v>25</v>
      </c>
      <c r="B35" s="30" t="str">
        <f t="shared" si="3"/>
        <v>Oddział Okulistyczny</v>
      </c>
      <c r="C35" s="28" t="str">
        <f>"Mikroskop okulistyczny-operacyjny"</f>
        <v>Mikroskop okulistyczny-operacyjny</v>
      </c>
      <c r="D35" s="28" t="str">
        <f>"Hi-R 900A"</f>
        <v>Hi-R 900A</v>
      </c>
      <c r="E35" s="31" t="str">
        <f>"008-0037-00021"</f>
        <v>008-0037-00021</v>
      </c>
      <c r="F35" s="31" t="str">
        <f>"5196"</f>
        <v>5196</v>
      </c>
      <c r="G35" s="31" t="str">
        <f>"Möller-Wedel"</f>
        <v>Möller-Wedel</v>
      </c>
      <c r="H35" s="31">
        <v>2011</v>
      </c>
      <c r="I35" s="31">
        <v>2</v>
      </c>
      <c r="J35" s="23"/>
      <c r="K35" s="23"/>
      <c r="L35" s="23"/>
      <c r="M35" s="23"/>
      <c r="N35" s="23"/>
    </row>
    <row r="36" spans="1:14" ht="28.8" x14ac:dyDescent="0.3">
      <c r="A36" s="15">
        <v>26</v>
      </c>
      <c r="B36" s="30" t="str">
        <f t="shared" si="3"/>
        <v>Oddział Okulistyczny</v>
      </c>
      <c r="C36" s="28" t="str">
        <f>"Mikroskop operacyjny"</f>
        <v>Mikroskop operacyjny</v>
      </c>
      <c r="D36" s="28" t="str">
        <f>"M620"</f>
        <v>M620</v>
      </c>
      <c r="E36" s="31" t="str">
        <f>"008-0037-00014"</f>
        <v>008-0037-00014</v>
      </c>
      <c r="F36" s="31" t="str">
        <f>"71207003"</f>
        <v>71207003</v>
      </c>
      <c r="G36" s="31" t="str">
        <f>"LEICA"</f>
        <v>LEICA</v>
      </c>
      <c r="H36" s="31">
        <v>2008</v>
      </c>
      <c r="I36" s="31">
        <v>2</v>
      </c>
      <c r="J36" s="23"/>
      <c r="K36" s="23"/>
      <c r="L36" s="23"/>
      <c r="M36" s="23"/>
      <c r="N36" s="23"/>
    </row>
    <row r="37" spans="1:14" ht="28.8" x14ac:dyDescent="0.3">
      <c r="A37" s="15">
        <v>27</v>
      </c>
      <c r="B37" s="30" t="str">
        <f t="shared" si="3"/>
        <v>Oddział Okulistyczny</v>
      </c>
      <c r="C37" s="28" t="str">
        <f>"Mikroskop spekularny"</f>
        <v>Mikroskop spekularny</v>
      </c>
      <c r="D37" s="28" t="str">
        <f>"SP 3000P"</f>
        <v>SP 3000P</v>
      </c>
      <c r="E37" s="31" t="str">
        <f>"008-0037-00013"</f>
        <v>008-0037-00013</v>
      </c>
      <c r="F37" s="31" t="str">
        <f>"0310855 "</f>
        <v xml:space="preserve">0310855 </v>
      </c>
      <c r="G37" s="31" t="str">
        <f>"Topcon Polska Sp. z o. o."</f>
        <v>Topcon Polska Sp. z o. o.</v>
      </c>
      <c r="H37" s="31">
        <v>2008</v>
      </c>
      <c r="I37" s="31">
        <v>2</v>
      </c>
      <c r="J37" s="23"/>
      <c r="K37" s="23"/>
      <c r="L37" s="23"/>
      <c r="M37" s="23"/>
      <c r="N37" s="23"/>
    </row>
    <row r="38" spans="1:14" ht="43.2" x14ac:dyDescent="0.3">
      <c r="A38" s="15">
        <v>28</v>
      </c>
      <c r="B38" s="30" t="str">
        <f t="shared" si="3"/>
        <v>Oddział Okulistyczny</v>
      </c>
      <c r="C38" s="28" t="s">
        <v>38</v>
      </c>
      <c r="D38" s="28" t="s">
        <v>39</v>
      </c>
      <c r="E38" s="31" t="str">
        <f>"008-0226-00006"</f>
        <v>008-0226-00006</v>
      </c>
      <c r="F38" s="31" t="str">
        <f>"796"</f>
        <v>796</v>
      </c>
      <c r="G38" s="31" t="s">
        <v>122</v>
      </c>
      <c r="H38" s="31">
        <v>2022</v>
      </c>
      <c r="I38" s="31">
        <v>2</v>
      </c>
      <c r="J38" s="23"/>
      <c r="K38" s="23"/>
      <c r="L38" s="23"/>
      <c r="M38" s="23"/>
      <c r="N38" s="23"/>
    </row>
    <row r="39" spans="1:14" ht="28.8" x14ac:dyDescent="0.3">
      <c r="A39" s="15">
        <v>29</v>
      </c>
      <c r="B39" s="30" t="str">
        <f t="shared" si="3"/>
        <v>Oddział Okulistyczny</v>
      </c>
      <c r="C39" s="28" t="s">
        <v>40</v>
      </c>
      <c r="D39" s="28" t="s">
        <v>41</v>
      </c>
      <c r="E39" s="31" t="str">
        <f>"008-0283-00004"</f>
        <v>008-0283-00004</v>
      </c>
      <c r="F39" s="31" t="str">
        <f>"991289"</f>
        <v>991289</v>
      </c>
      <c r="G39" s="31" t="str">
        <f>"Topcon Polska Sp. z o. o."</f>
        <v>Topcon Polska Sp. z o. o.</v>
      </c>
      <c r="H39" s="31">
        <v>2021</v>
      </c>
      <c r="I39" s="31">
        <v>2</v>
      </c>
      <c r="J39" s="23"/>
      <c r="K39" s="23"/>
      <c r="L39" s="23"/>
      <c r="M39" s="23"/>
      <c r="N39" s="23"/>
    </row>
    <row r="40" spans="1:14" x14ac:dyDescent="0.3">
      <c r="A40" s="15">
        <v>30</v>
      </c>
      <c r="B40" s="30" t="str">
        <f t="shared" si="3"/>
        <v>Oddział Okulistyczny</v>
      </c>
      <c r="C40" s="28" t="str">
        <f>"Oftalmometr"</f>
        <v>Oftalmometr</v>
      </c>
      <c r="D40" s="28" t="str">
        <f>"Javalla"</f>
        <v>Javalla</v>
      </c>
      <c r="E40" s="31" t="str">
        <f>"008-0123-00001"</f>
        <v>008-0123-00001</v>
      </c>
      <c r="F40" s="31" t="str">
        <f>"297471"</f>
        <v>297471</v>
      </c>
      <c r="G40" s="31" t="str">
        <f>"Carl Zeiss Sp. z o. o."</f>
        <v>Carl Zeiss Sp. z o. o.</v>
      </c>
      <c r="H40" s="31">
        <v>1985</v>
      </c>
      <c r="I40" s="31">
        <v>2</v>
      </c>
      <c r="J40" s="23"/>
      <c r="K40" s="23"/>
      <c r="L40" s="23"/>
      <c r="M40" s="23"/>
      <c r="N40" s="23"/>
    </row>
    <row r="41" spans="1:14" x14ac:dyDescent="0.3">
      <c r="A41" s="15">
        <v>31</v>
      </c>
      <c r="B41" s="30" t="str">
        <f t="shared" si="3"/>
        <v>Oddział Okulistyczny</v>
      </c>
      <c r="C41" s="28" t="str">
        <f t="shared" ref="C41:C46" si="4">"Oftalmoskop"</f>
        <v>Oftalmoskop</v>
      </c>
      <c r="D41" s="28" t="str">
        <f>"HD-110"</f>
        <v>HD-110</v>
      </c>
      <c r="E41" s="31" t="str">
        <f>"008-0123-00002"</f>
        <v>008-0123-00002</v>
      </c>
      <c r="F41" s="31" t="str">
        <f>"327569"</f>
        <v>327569</v>
      </c>
      <c r="G41" s="31"/>
      <c r="H41" s="31">
        <v>1991</v>
      </c>
      <c r="I41" s="31">
        <v>2</v>
      </c>
      <c r="J41" s="23"/>
      <c r="K41" s="23"/>
      <c r="L41" s="23"/>
      <c r="M41" s="23"/>
      <c r="N41" s="23"/>
    </row>
    <row r="42" spans="1:14" x14ac:dyDescent="0.3">
      <c r="A42" s="15">
        <v>32</v>
      </c>
      <c r="B42" s="30" t="str">
        <f t="shared" si="3"/>
        <v>Oddział Okulistyczny</v>
      </c>
      <c r="C42" s="28" t="str">
        <f t="shared" si="4"/>
        <v>Oftalmoskop</v>
      </c>
      <c r="D42" s="28" t="str">
        <f>"Omega 180"</f>
        <v>Omega 180</v>
      </c>
      <c r="E42" s="31" t="str">
        <f>"008-0121-00004"</f>
        <v>008-0121-00004</v>
      </c>
      <c r="F42" s="31" t="str">
        <f>"1048906"</f>
        <v>1048906</v>
      </c>
      <c r="G42" s="31" t="str">
        <f>"Heine"</f>
        <v>Heine</v>
      </c>
      <c r="H42" s="31">
        <v>2005</v>
      </c>
      <c r="I42" s="31">
        <v>2</v>
      </c>
      <c r="J42" s="23"/>
      <c r="K42" s="23"/>
      <c r="L42" s="23"/>
      <c r="M42" s="23"/>
      <c r="N42" s="23"/>
    </row>
    <row r="43" spans="1:14" x14ac:dyDescent="0.3">
      <c r="A43" s="15">
        <v>33</v>
      </c>
      <c r="B43" s="30" t="str">
        <f t="shared" si="3"/>
        <v>Oddział Okulistyczny</v>
      </c>
      <c r="C43" s="28" t="str">
        <f t="shared" si="4"/>
        <v>Oftalmoskop</v>
      </c>
      <c r="D43" s="28" t="str">
        <f>"Omega 180"</f>
        <v>Omega 180</v>
      </c>
      <c r="E43" s="31" t="str">
        <f>"008-0121-00002"</f>
        <v>008-0121-00002</v>
      </c>
      <c r="F43" s="31" t="str">
        <f>"21996"</f>
        <v>21996</v>
      </c>
      <c r="G43" s="31" t="str">
        <f>"Heine"</f>
        <v>Heine</v>
      </c>
      <c r="H43" s="31">
        <v>2002</v>
      </c>
      <c r="I43" s="31">
        <v>2</v>
      </c>
      <c r="J43" s="23"/>
      <c r="K43" s="23"/>
      <c r="L43" s="23"/>
      <c r="M43" s="23"/>
      <c r="N43" s="23"/>
    </row>
    <row r="44" spans="1:14" ht="28.8" x14ac:dyDescent="0.3">
      <c r="A44" s="15">
        <v>34</v>
      </c>
      <c r="B44" s="30" t="str">
        <f t="shared" si="3"/>
        <v>Oddział Okulistyczny</v>
      </c>
      <c r="C44" s="28" t="str">
        <f t="shared" si="4"/>
        <v>Oftalmoskop</v>
      </c>
      <c r="D44" s="28" t="str">
        <f>"Omega 500 Heine"</f>
        <v>Omega 500 Heine</v>
      </c>
      <c r="E44" s="31" t="str">
        <f>"008-0121-00006"</f>
        <v>008-0121-00006</v>
      </c>
      <c r="F44" s="31" t="str">
        <f>"1277298 "</f>
        <v xml:space="preserve">1277298 </v>
      </c>
      <c r="G44" s="31" t="str">
        <f>"Heine"</f>
        <v>Heine</v>
      </c>
      <c r="H44" s="31">
        <v>2008</v>
      </c>
      <c r="I44" s="31">
        <v>2</v>
      </c>
      <c r="J44" s="23"/>
      <c r="K44" s="23"/>
      <c r="L44" s="23"/>
      <c r="M44" s="23"/>
      <c r="N44" s="23"/>
    </row>
    <row r="45" spans="1:14" ht="28.8" x14ac:dyDescent="0.3">
      <c r="A45" s="15">
        <v>35</v>
      </c>
      <c r="B45" s="30" t="str">
        <f t="shared" si="3"/>
        <v>Oddział Okulistyczny</v>
      </c>
      <c r="C45" s="28" t="str">
        <f t="shared" si="4"/>
        <v>Oftalmoskop</v>
      </c>
      <c r="D45" s="28" t="str">
        <f>"Omega 500 Heine"</f>
        <v>Omega 500 Heine</v>
      </c>
      <c r="E45" s="31" t="str">
        <f>"008-0121-00010"</f>
        <v>008-0121-00010</v>
      </c>
      <c r="F45" s="31">
        <v>1121003960</v>
      </c>
      <c r="G45" s="31" t="str">
        <f>"Heine"</f>
        <v>Heine</v>
      </c>
      <c r="H45" s="31">
        <v>2013</v>
      </c>
      <c r="I45" s="31">
        <v>2</v>
      </c>
      <c r="J45" s="23"/>
      <c r="K45" s="23"/>
      <c r="L45" s="23"/>
      <c r="M45" s="23"/>
      <c r="N45" s="23"/>
    </row>
    <row r="46" spans="1:14" x14ac:dyDescent="0.3">
      <c r="A46" s="15">
        <v>36</v>
      </c>
      <c r="B46" s="30" t="str">
        <f t="shared" si="3"/>
        <v>Oddział Okulistyczny</v>
      </c>
      <c r="C46" s="28" t="str">
        <f t="shared" si="4"/>
        <v>Oftalmoskop</v>
      </c>
      <c r="D46" s="28" t="str">
        <f>"Vantage Plus"</f>
        <v>Vantage Plus</v>
      </c>
      <c r="E46" s="31" t="str">
        <f>"008-0121-00011"</f>
        <v>008-0121-00011</v>
      </c>
      <c r="F46" s="31" t="str">
        <f>"46948"</f>
        <v>46948</v>
      </c>
      <c r="G46" s="31" t="str">
        <f>"Keeler Ltd"</f>
        <v>Keeler Ltd</v>
      </c>
      <c r="H46" s="31">
        <v>2015</v>
      </c>
      <c r="I46" s="31">
        <v>2</v>
      </c>
      <c r="J46" s="23"/>
      <c r="K46" s="23"/>
      <c r="L46" s="23"/>
      <c r="M46" s="23"/>
      <c r="N46" s="23"/>
    </row>
    <row r="47" spans="1:14" ht="28.8" x14ac:dyDescent="0.3">
      <c r="A47" s="15">
        <v>37</v>
      </c>
      <c r="B47" s="30" t="str">
        <f t="shared" si="3"/>
        <v>Oddział Okulistyczny</v>
      </c>
      <c r="C47" s="28" t="str">
        <f>"Oftalmoskop operacyjny"</f>
        <v>Oftalmoskop operacyjny</v>
      </c>
      <c r="D47" s="28" t="str">
        <f>"BIOM3c/SDI3c"</f>
        <v>BIOM3c/SDI3c</v>
      </c>
      <c r="E47" s="31" t="str">
        <f>"008-0121-00003"</f>
        <v>008-0121-00003</v>
      </c>
      <c r="F47" s="31" t="str">
        <f>"FGT1KB3910600855"</f>
        <v>FGT1KB3910600855</v>
      </c>
      <c r="G47" s="31" t="s">
        <v>122</v>
      </c>
      <c r="H47" s="31">
        <v>2006</v>
      </c>
      <c r="I47" s="31">
        <v>2</v>
      </c>
      <c r="J47" s="23"/>
      <c r="K47" s="23"/>
      <c r="L47" s="23"/>
      <c r="M47" s="23"/>
      <c r="N47" s="23"/>
    </row>
    <row r="48" spans="1:14" ht="28.8" x14ac:dyDescent="0.3">
      <c r="A48" s="15">
        <v>38</v>
      </c>
      <c r="B48" s="30" t="str">
        <f t="shared" si="3"/>
        <v>Oddział Okulistyczny</v>
      </c>
      <c r="C48" s="28" t="str">
        <f>"Oftalmoskop pośredni"</f>
        <v>Oftalmoskop pośredni</v>
      </c>
      <c r="D48" s="28" t="str">
        <f>"OMEGA 500"</f>
        <v>OMEGA 500</v>
      </c>
      <c r="E48" s="31" t="str">
        <f>"008-0121-00008"</f>
        <v>008-0121-00008</v>
      </c>
      <c r="F48" s="31" t="str">
        <f>"1120007938"</f>
        <v>1120007938</v>
      </c>
      <c r="G48" s="31" t="str">
        <f>"Heine"</f>
        <v>Heine</v>
      </c>
      <c r="H48" s="31">
        <v>2012</v>
      </c>
      <c r="I48" s="31">
        <v>2</v>
      </c>
      <c r="J48" s="23"/>
      <c r="K48" s="23"/>
      <c r="L48" s="23"/>
      <c r="M48" s="23"/>
      <c r="N48" s="23"/>
    </row>
    <row r="49" spans="1:14" ht="28.8" x14ac:dyDescent="0.3">
      <c r="A49" s="15">
        <v>39</v>
      </c>
      <c r="B49" s="30" t="str">
        <f>"Poradnia Okulistyczna"</f>
        <v>Poradnia Okulistyczna</v>
      </c>
      <c r="C49" s="28" t="str">
        <f>"Oftalmoskop pośredni"</f>
        <v>Oftalmoskop pośredni</v>
      </c>
      <c r="D49" s="28" t="str">
        <f>"OMEGA 500"</f>
        <v>OMEGA 500</v>
      </c>
      <c r="E49" s="31" t="str">
        <f>"008-0121-00007"</f>
        <v>008-0121-00007</v>
      </c>
      <c r="F49" s="31" t="str">
        <f>"1321164 "</f>
        <v xml:space="preserve">1321164 </v>
      </c>
      <c r="G49" s="31" t="str">
        <f>"Heine"</f>
        <v>Heine</v>
      </c>
      <c r="H49" s="31">
        <v>2009</v>
      </c>
      <c r="I49" s="31">
        <v>2</v>
      </c>
      <c r="J49" s="23"/>
      <c r="K49" s="23"/>
      <c r="L49" s="23"/>
      <c r="M49" s="23"/>
      <c r="N49" s="23"/>
    </row>
    <row r="50" spans="1:14" ht="28.8" x14ac:dyDescent="0.3">
      <c r="A50" s="15">
        <v>40</v>
      </c>
      <c r="B50" s="30" t="str">
        <f t="shared" ref="B50" si="5">"Oddział Okulistyczny"</f>
        <v>Oddział Okulistyczny</v>
      </c>
      <c r="C50" s="28" t="str">
        <f>"Oftalmoskop pośredni"</f>
        <v>Oftalmoskop pośredni</v>
      </c>
      <c r="D50" s="28" t="str">
        <f>"Video Omega 2C HEINE"</f>
        <v>Video Omega 2C HEINE</v>
      </c>
      <c r="E50" s="31" t="str">
        <f>"008-0121-00009"</f>
        <v>008-0121-00009</v>
      </c>
      <c r="F50" s="31" t="str">
        <f>"1353126"</f>
        <v>1353126</v>
      </c>
      <c r="G50" s="31" t="str">
        <f>"Heine"</f>
        <v>Heine</v>
      </c>
      <c r="H50" s="31">
        <v>2012</v>
      </c>
      <c r="I50" s="31">
        <v>2</v>
      </c>
      <c r="J50" s="23"/>
      <c r="K50" s="23"/>
      <c r="L50" s="23"/>
      <c r="M50" s="23"/>
      <c r="N50" s="23"/>
    </row>
    <row r="51" spans="1:14" ht="28.8" x14ac:dyDescent="0.3">
      <c r="A51" s="15">
        <v>41</v>
      </c>
      <c r="B51" s="30" t="str">
        <f>"Poradnia Okulistyczna"</f>
        <v>Poradnia Okulistyczna</v>
      </c>
      <c r="C51" s="28" t="str">
        <f>"Perymetr komputerowy"</f>
        <v>Perymetr komputerowy</v>
      </c>
      <c r="D51" s="28" t="str">
        <f>"M700"</f>
        <v>M700</v>
      </c>
      <c r="E51" s="31" t="str">
        <f>"008-0213-00003"</f>
        <v>008-0213-00003</v>
      </c>
      <c r="F51" s="31" t="str">
        <f>"M105502"</f>
        <v>M105502</v>
      </c>
      <c r="G51" s="31" t="str">
        <f>"MEDMONT INTERNATIONAL  PTY LTD "</f>
        <v xml:space="preserve">MEDMONT INTERNATIONAL  PTY LTD </v>
      </c>
      <c r="H51" s="31">
        <v>2010</v>
      </c>
      <c r="I51" s="31">
        <v>2</v>
      </c>
      <c r="J51" s="23"/>
      <c r="K51" s="23"/>
      <c r="L51" s="23"/>
      <c r="M51" s="23"/>
      <c r="N51" s="23"/>
    </row>
    <row r="52" spans="1:14" ht="43.2" x14ac:dyDescent="0.3">
      <c r="A52" s="15">
        <v>42</v>
      </c>
      <c r="B52" s="30" t="str">
        <f t="shared" ref="B52" si="6">"Oddział Okulistyczny"</f>
        <v>Oddział Okulistyczny</v>
      </c>
      <c r="C52" s="28" t="str">
        <f>"Spektralny optyczny tomograf koherentny"</f>
        <v>Spektralny optyczny tomograf koherentny</v>
      </c>
      <c r="D52" s="28" t="str">
        <f>" iVue-100"</f>
        <v xml:space="preserve"> iVue-100</v>
      </c>
      <c r="E52" s="31" t="str">
        <f>"008-0283-00003"</f>
        <v>008-0283-00003</v>
      </c>
      <c r="F52" s="31" t="str">
        <f>"025095"</f>
        <v>025095</v>
      </c>
      <c r="G52" s="31" t="str">
        <f>"Optovue Inc"</f>
        <v>Optovue Inc</v>
      </c>
      <c r="H52" s="31">
        <v>2015</v>
      </c>
      <c r="I52" s="31">
        <v>2</v>
      </c>
      <c r="J52" s="23"/>
      <c r="K52" s="23"/>
      <c r="L52" s="23"/>
      <c r="M52" s="23"/>
      <c r="N52" s="23"/>
    </row>
    <row r="53" spans="1:14" ht="43.2" x14ac:dyDescent="0.3">
      <c r="A53" s="15">
        <v>43</v>
      </c>
      <c r="B53" s="30" t="str">
        <f>"Oddział Okulistyczny"</f>
        <v>Oddział Okulistyczny</v>
      </c>
      <c r="C53" s="28" t="str">
        <f>"Tomograf okulistyczny Spectralis"</f>
        <v>Tomograf okulistyczny Spectralis</v>
      </c>
      <c r="D53" s="28" t="str">
        <f>"SD OCT/AF"</f>
        <v>SD OCT/AF</v>
      </c>
      <c r="E53" s="31" t="str">
        <f>"008-0283-00002"</f>
        <v>008-0283-00002</v>
      </c>
      <c r="F53" s="31" t="str">
        <f>"08516"</f>
        <v>08516</v>
      </c>
      <c r="G53" s="31" t="s">
        <v>123</v>
      </c>
      <c r="H53" s="31">
        <v>2014</v>
      </c>
      <c r="I53" s="31">
        <v>2</v>
      </c>
      <c r="J53" s="23"/>
      <c r="K53" s="23"/>
      <c r="L53" s="23"/>
      <c r="M53" s="23"/>
      <c r="N53" s="23"/>
    </row>
    <row r="54" spans="1:14" ht="43.2" x14ac:dyDescent="0.3">
      <c r="A54" s="15">
        <v>44</v>
      </c>
      <c r="B54" s="30" t="str">
        <f>"Poradnia Okulistyczna"</f>
        <v>Poradnia Okulistyczna</v>
      </c>
      <c r="C54" s="28" t="str">
        <f>"Tomograf optyczny koherentny siatkówki"</f>
        <v>Tomograf optyczny koherentny siatkówki</v>
      </c>
      <c r="D54" s="28" t="str">
        <f>"OCT-3D Cirrus HD"</f>
        <v>OCT-3D Cirrus HD</v>
      </c>
      <c r="E54" s="31" t="str">
        <f>"008-0283-00001"</f>
        <v>008-0283-00001</v>
      </c>
      <c r="F54" s="31" t="str">
        <f>"28461"</f>
        <v>28461</v>
      </c>
      <c r="G54" s="31" t="str">
        <f>"Carl Zeiss Sp. z o. o."</f>
        <v>Carl Zeiss Sp. z o. o.</v>
      </c>
      <c r="H54" s="31">
        <v>2007</v>
      </c>
      <c r="I54" s="31">
        <v>2</v>
      </c>
      <c r="J54" s="23"/>
      <c r="K54" s="23"/>
      <c r="L54" s="23"/>
      <c r="M54" s="23"/>
      <c r="N54" s="23"/>
    </row>
    <row r="55" spans="1:14" ht="28.8" x14ac:dyDescent="0.3">
      <c r="A55" s="15">
        <v>45</v>
      </c>
      <c r="B55" s="30" t="str">
        <f>"Oddział Okulistyczny"</f>
        <v>Oddział Okulistyczny</v>
      </c>
      <c r="C55" s="28" t="str">
        <f>"Tonometr bezdotykowy"</f>
        <v>Tonometr bezdotykowy</v>
      </c>
      <c r="D55" s="28" t="str">
        <f>"FT-1000"</f>
        <v>FT-1000</v>
      </c>
      <c r="E55" s="31" t="str">
        <f>"008-0267-00008"</f>
        <v>008-0267-00008</v>
      </c>
      <c r="F55" s="31" t="str">
        <f>"928007"</f>
        <v>928007</v>
      </c>
      <c r="G55" s="31" t="str">
        <f>"Tomey Corporation"</f>
        <v>Tomey Corporation</v>
      </c>
      <c r="H55" s="31">
        <v>2019</v>
      </c>
      <c r="I55" s="31">
        <v>2</v>
      </c>
      <c r="J55" s="23"/>
      <c r="K55" s="23"/>
      <c r="L55" s="23"/>
      <c r="M55" s="23"/>
      <c r="N55" s="23"/>
    </row>
    <row r="56" spans="1:14" ht="43.2" x14ac:dyDescent="0.3">
      <c r="A56" s="15">
        <v>46</v>
      </c>
      <c r="B56" s="30" t="str">
        <f>"Poradnia Okulistyczna"</f>
        <v>Poradnia Okulistyczna</v>
      </c>
      <c r="C56" s="28" t="str">
        <f>"Tonometr bezkontaktowy z wyposażeniem"</f>
        <v>Tonometr bezkontaktowy z wyposażeniem</v>
      </c>
      <c r="D56" s="28" t="str">
        <f>"CT-80"</f>
        <v>CT-80</v>
      </c>
      <c r="E56" s="31" t="str">
        <f>"008-0267-00004"</f>
        <v>008-0267-00004</v>
      </c>
      <c r="F56" s="31" t="str">
        <f>"1574039"</f>
        <v>1574039</v>
      </c>
      <c r="G56" s="31" t="str">
        <f>"Topcon Polska Sp. z o. o."</f>
        <v>Topcon Polska Sp. z o. o.</v>
      </c>
      <c r="H56" s="31">
        <v>2010</v>
      </c>
      <c r="I56" s="31">
        <v>2</v>
      </c>
      <c r="J56" s="23"/>
      <c r="K56" s="23"/>
      <c r="L56" s="23"/>
      <c r="M56" s="23"/>
      <c r="N56" s="23"/>
    </row>
    <row r="57" spans="1:14" ht="43.2" x14ac:dyDescent="0.3">
      <c r="A57" s="15">
        <v>47</v>
      </c>
      <c r="B57" s="30" t="str">
        <f>"Oddział Okulistyczny"</f>
        <v>Oddział Okulistyczny</v>
      </c>
      <c r="C57" s="28" t="str">
        <f>"Tonometr bezkontaktowy z wyposażeniem"</f>
        <v>Tonometr bezkontaktowy z wyposażeniem</v>
      </c>
      <c r="D57" s="28" t="str">
        <f>"CT-80A"</f>
        <v>CT-80A</v>
      </c>
      <c r="E57" s="31" t="str">
        <f>"008-0267-00003"</f>
        <v>008-0267-00003</v>
      </c>
      <c r="F57" s="31" t="str">
        <f>"201587"</f>
        <v>201587</v>
      </c>
      <c r="G57" s="31" t="str">
        <f>"Topcon Polska Sp. z o. o."</f>
        <v>Topcon Polska Sp. z o. o.</v>
      </c>
      <c r="H57" s="31">
        <v>2010</v>
      </c>
      <c r="I57" s="31">
        <v>2</v>
      </c>
      <c r="J57" s="23"/>
      <c r="K57" s="23"/>
      <c r="L57" s="23"/>
      <c r="M57" s="23"/>
      <c r="N57" s="23"/>
    </row>
    <row r="58" spans="1:14" ht="43.2" x14ac:dyDescent="0.3">
      <c r="A58" s="15">
        <v>48</v>
      </c>
      <c r="B58" s="30" t="str">
        <f>"Oddział Okulistyczny"</f>
        <v>Oddział Okulistyczny</v>
      </c>
      <c r="C58" s="28" t="str">
        <f>"Tonometr bezkontaktowy z wyposażeniem"</f>
        <v>Tonometr bezkontaktowy z wyposażeniem</v>
      </c>
      <c r="D58" s="28" t="str">
        <f>"TX-F"</f>
        <v>TX-F</v>
      </c>
      <c r="E58" s="31" t="str">
        <f>"008-0267-00002"</f>
        <v>008-0267-00002</v>
      </c>
      <c r="F58" s="31" t="str">
        <f>"112668 "</f>
        <v xml:space="preserve">112668 </v>
      </c>
      <c r="G58" s="31" t="str">
        <f>"Canon"</f>
        <v>Canon</v>
      </c>
      <c r="H58" s="31">
        <v>2009</v>
      </c>
      <c r="I58" s="31">
        <v>2</v>
      </c>
      <c r="J58" s="23"/>
      <c r="K58" s="23"/>
      <c r="L58" s="23"/>
      <c r="M58" s="23"/>
      <c r="N58" s="23"/>
    </row>
    <row r="59" spans="1:14" x14ac:dyDescent="0.3">
      <c r="A59" s="15">
        <v>49</v>
      </c>
      <c r="B59" s="30" t="str">
        <f>"Oddział Okulistyczny"</f>
        <v>Oddział Okulistyczny</v>
      </c>
      <c r="C59" s="28" t="str">
        <f>"Tonometr indukcyjny"</f>
        <v>Tonometr indukcyjny</v>
      </c>
      <c r="D59" s="28" t="str">
        <f>"IC200"</f>
        <v>IC200</v>
      </c>
      <c r="E59" s="31" t="str">
        <f>"008-0267-00009"</f>
        <v>008-0267-00009</v>
      </c>
      <c r="F59" s="31" t="str">
        <f>"2018BM033"</f>
        <v>2018BM033</v>
      </c>
      <c r="G59" s="31" t="str">
        <f>"iCare Finland Oy, Finlandia."</f>
        <v>iCare Finland Oy, Finlandia.</v>
      </c>
      <c r="H59" s="31">
        <v>2019</v>
      </c>
      <c r="I59" s="31">
        <v>2</v>
      </c>
      <c r="J59" s="23"/>
      <c r="K59" s="23"/>
      <c r="L59" s="23"/>
      <c r="M59" s="23"/>
      <c r="N59" s="23"/>
    </row>
    <row r="60" spans="1:14" x14ac:dyDescent="0.3">
      <c r="A60" s="15">
        <v>50</v>
      </c>
      <c r="B60" s="30" t="str">
        <f>"Oddział Okulistyczny"</f>
        <v>Oddział Okulistyczny</v>
      </c>
      <c r="C60" s="28" t="str">
        <f>"Tonometr indukcyjny"</f>
        <v>Tonometr indukcyjny</v>
      </c>
      <c r="D60" s="28" t="str">
        <f>"iCARE Pro TA03"</f>
        <v>iCARE Pro TA03</v>
      </c>
      <c r="E60" s="31" t="str">
        <f>"008-0267-00006"</f>
        <v>008-0267-00006</v>
      </c>
      <c r="F60" s="31" t="str">
        <f>"1421AB012"</f>
        <v>1421AB012</v>
      </c>
      <c r="G60" s="31" t="str">
        <f>"iCare Finland Oy, Finlandia."</f>
        <v>iCare Finland Oy, Finlandia.</v>
      </c>
      <c r="H60" s="31">
        <v>2014</v>
      </c>
      <c r="I60" s="31">
        <v>2</v>
      </c>
      <c r="J60" s="23"/>
      <c r="K60" s="23"/>
      <c r="L60" s="23"/>
      <c r="M60" s="23"/>
      <c r="N60" s="23"/>
    </row>
    <row r="61" spans="1:14" ht="43.2" x14ac:dyDescent="0.3">
      <c r="A61" s="15">
        <v>51</v>
      </c>
      <c r="B61" s="30" t="s">
        <v>23</v>
      </c>
      <c r="C61" s="28" t="s">
        <v>42</v>
      </c>
      <c r="D61" s="28" t="s">
        <v>43</v>
      </c>
      <c r="E61" s="31" t="s">
        <v>44</v>
      </c>
      <c r="F61" s="31">
        <v>1574045</v>
      </c>
      <c r="G61" s="31" t="str">
        <f>"Topcon Polska Sp. z o. o."</f>
        <v>Topcon Polska Sp. z o. o.</v>
      </c>
      <c r="H61" s="31">
        <v>2010</v>
      </c>
      <c r="I61" s="31">
        <v>2</v>
      </c>
      <c r="J61" s="23"/>
      <c r="K61" s="23"/>
      <c r="L61" s="23"/>
      <c r="M61" s="23"/>
      <c r="N61" s="23"/>
    </row>
    <row r="62" spans="1:14" ht="28.8" x14ac:dyDescent="0.3">
      <c r="A62" s="15">
        <v>52</v>
      </c>
      <c r="B62" s="30" t="str">
        <f>"Oddział Okulistyczny"</f>
        <v>Oddział Okulistyczny</v>
      </c>
      <c r="C62" s="28" t="str">
        <f>"Tonometr ręczny kontaktowy"</f>
        <v>Tonometr ręczny kontaktowy</v>
      </c>
      <c r="D62" s="28" t="str">
        <f>"iCARE Pro TA03"</f>
        <v>iCARE Pro TA03</v>
      </c>
      <c r="E62" s="31" t="str">
        <f>"008-0267-00007"</f>
        <v>008-0267-00007</v>
      </c>
      <c r="F62" s="31" t="str">
        <f>"1612AB046"</f>
        <v>1612AB046</v>
      </c>
      <c r="G62" s="31" t="str">
        <f>"iCare Finland Oy, Finlandia."</f>
        <v>iCare Finland Oy, Finlandia.</v>
      </c>
      <c r="H62" s="31">
        <v>2016</v>
      </c>
      <c r="I62" s="31">
        <v>2</v>
      </c>
      <c r="J62" s="23"/>
      <c r="K62" s="23"/>
      <c r="L62" s="23"/>
      <c r="M62" s="23"/>
      <c r="N62" s="23"/>
    </row>
    <row r="63" spans="1:14" x14ac:dyDescent="0.3">
      <c r="A63" s="15">
        <v>53</v>
      </c>
      <c r="B63" s="30" t="str">
        <f>"Poradnia Okulistyczna"</f>
        <v>Poradnia Okulistyczna</v>
      </c>
      <c r="C63" s="28" t="str">
        <f>"Ultrasonograf"</f>
        <v>Ultrasonograf</v>
      </c>
      <c r="D63" s="28" t="str">
        <f>"EPIDOT USO"</f>
        <v>EPIDOT USO</v>
      </c>
      <c r="E63" s="31" t="str">
        <f>"008-0030-00041"</f>
        <v>008-0030-00041</v>
      </c>
      <c r="F63" s="31" t="str">
        <f>"090221AE "</f>
        <v xml:space="preserve">090221AE </v>
      </c>
      <c r="G63" s="31" t="str">
        <f>"ECHO-SON"</f>
        <v>ECHO-SON</v>
      </c>
      <c r="H63" s="31">
        <v>2009</v>
      </c>
      <c r="I63" s="31">
        <v>2</v>
      </c>
      <c r="J63" s="23"/>
      <c r="K63" s="23"/>
      <c r="L63" s="23"/>
      <c r="M63" s="23"/>
      <c r="N63" s="23"/>
    </row>
    <row r="64" spans="1:14" x14ac:dyDescent="0.3">
      <c r="A64" s="15">
        <v>54</v>
      </c>
      <c r="B64" s="30" t="str">
        <f t="shared" ref="B64:B69" si="7">"Oddział Okulistyczny"</f>
        <v>Oddział Okulistyczny</v>
      </c>
      <c r="C64" s="28" t="str">
        <f>"Ultrasonograf"</f>
        <v>Ultrasonograf</v>
      </c>
      <c r="D64" s="28" t="str">
        <f>"OTI-SCAN 2000"</f>
        <v>OTI-SCAN 2000</v>
      </c>
      <c r="E64" s="31" t="str">
        <f>"008-0030-00025"</f>
        <v>008-0030-00025</v>
      </c>
      <c r="F64" s="31" t="str">
        <f>"UB2-0562"</f>
        <v>UB2-0562</v>
      </c>
      <c r="G64" s="31" t="str">
        <f>"OTI"</f>
        <v>OTI</v>
      </c>
      <c r="H64" s="31">
        <v>2005</v>
      </c>
      <c r="I64" s="31">
        <v>2</v>
      </c>
      <c r="J64" s="23"/>
      <c r="K64" s="23"/>
      <c r="L64" s="23"/>
      <c r="M64" s="23"/>
      <c r="N64" s="23"/>
    </row>
    <row r="65" spans="1:14" ht="28.8" x14ac:dyDescent="0.3">
      <c r="A65" s="15">
        <v>55</v>
      </c>
      <c r="B65" s="30" t="str">
        <f t="shared" si="7"/>
        <v>Oddział Okulistyczny</v>
      </c>
      <c r="C65" s="28" t="str">
        <f>"Ultrasonograf okulistyczny"</f>
        <v>Ultrasonograf okulistyczny</v>
      </c>
      <c r="D65" s="28" t="str">
        <f>"Accutome A+B"</f>
        <v>Accutome A+B</v>
      </c>
      <c r="E65" s="31" t="str">
        <f>"008-0030-00043"</f>
        <v>008-0030-00043</v>
      </c>
      <c r="F65" s="31" t="str">
        <f>"10K4205 (A): 10E808 (B)"</f>
        <v>10K4205 (A): 10E808 (B)</v>
      </c>
      <c r="G65" s="31" t="str">
        <f>"Accutome"</f>
        <v>Accutome</v>
      </c>
      <c r="H65" s="31">
        <v>2010</v>
      </c>
      <c r="I65" s="31">
        <v>2</v>
      </c>
      <c r="J65" s="23"/>
      <c r="K65" s="23"/>
      <c r="L65" s="23"/>
      <c r="M65" s="23"/>
      <c r="N65" s="23"/>
    </row>
    <row r="66" spans="1:14" ht="28.8" x14ac:dyDescent="0.3">
      <c r="A66" s="15">
        <v>56</v>
      </c>
      <c r="B66" s="32" t="str">
        <f t="shared" si="7"/>
        <v>Oddział Okulistyczny</v>
      </c>
      <c r="C66" s="34" t="str">
        <f>"Źródło światła ksenonowe"</f>
        <v>Źródło światła ksenonowe</v>
      </c>
      <c r="D66" s="34" t="str">
        <f>"Xenon Brightstar"</f>
        <v>Xenon Brightstar</v>
      </c>
      <c r="E66" s="33" t="str">
        <f>"008-0272-00003"</f>
        <v>008-0272-00003</v>
      </c>
      <c r="F66" s="33" t="str">
        <f>"200783361"</f>
        <v>200783361</v>
      </c>
      <c r="G66" s="33" t="s">
        <v>124</v>
      </c>
      <c r="H66" s="33">
        <v>2007</v>
      </c>
      <c r="I66" s="33">
        <v>2</v>
      </c>
      <c r="J66" s="23"/>
      <c r="K66" s="23"/>
      <c r="L66" s="23"/>
      <c r="M66" s="23"/>
      <c r="N66" s="23"/>
    </row>
    <row r="67" spans="1:14" x14ac:dyDescent="0.3">
      <c r="A67" s="15">
        <v>57</v>
      </c>
      <c r="B67" s="30" t="str">
        <f t="shared" si="7"/>
        <v>Oddział Okulistyczny</v>
      </c>
      <c r="C67" s="28" t="s">
        <v>45</v>
      </c>
      <c r="D67" s="28" t="s">
        <v>46</v>
      </c>
      <c r="E67" s="31" t="s">
        <v>47</v>
      </c>
      <c r="F67" s="31" t="s">
        <v>48</v>
      </c>
      <c r="G67" s="31" t="s">
        <v>49</v>
      </c>
      <c r="H67" s="31">
        <v>2004</v>
      </c>
      <c r="I67" s="31">
        <v>2</v>
      </c>
      <c r="J67" s="23"/>
      <c r="K67" s="23"/>
      <c r="L67" s="23"/>
      <c r="M67" s="23"/>
      <c r="N67" s="23"/>
    </row>
    <row r="68" spans="1:14" ht="28.8" x14ac:dyDescent="0.3">
      <c r="A68" s="15">
        <v>58</v>
      </c>
      <c r="B68" s="30" t="str">
        <f t="shared" si="7"/>
        <v>Oddział Okulistyczny</v>
      </c>
      <c r="C68" s="28" t="s">
        <v>50</v>
      </c>
      <c r="D68" s="28" t="s">
        <v>51</v>
      </c>
      <c r="E68" s="28" t="s">
        <v>52</v>
      </c>
      <c r="F68" s="31">
        <v>8846</v>
      </c>
      <c r="G68" s="31" t="s">
        <v>49</v>
      </c>
      <c r="H68" s="31">
        <v>2009</v>
      </c>
      <c r="I68" s="31">
        <v>2</v>
      </c>
      <c r="J68" s="23"/>
      <c r="K68" s="23"/>
      <c r="L68" s="23"/>
      <c r="M68" s="23"/>
      <c r="N68" s="23"/>
    </row>
    <row r="69" spans="1:14" x14ac:dyDescent="0.3">
      <c r="A69" s="15">
        <v>59</v>
      </c>
      <c r="B69" s="30" t="str">
        <f t="shared" si="7"/>
        <v>Oddział Okulistyczny</v>
      </c>
      <c r="C69" s="28" t="s">
        <v>53</v>
      </c>
      <c r="D69" s="28">
        <v>244</v>
      </c>
      <c r="E69" s="31" t="s">
        <v>54</v>
      </c>
      <c r="F69" s="31">
        <v>4066</v>
      </c>
      <c r="G69" s="31" t="s">
        <v>49</v>
      </c>
      <c r="H69" s="31">
        <v>2007</v>
      </c>
      <c r="I69" s="31">
        <v>2</v>
      </c>
      <c r="J69" s="23"/>
      <c r="K69" s="23"/>
      <c r="L69" s="23"/>
      <c r="M69" s="23"/>
      <c r="N69" s="23"/>
    </row>
    <row r="70" spans="1:14" x14ac:dyDescent="0.3">
      <c r="K70" s="29"/>
      <c r="M70" s="29"/>
    </row>
  </sheetData>
  <mergeCells count="1">
    <mergeCell ref="A7:N7"/>
  </mergeCells>
  <pageMargins left="0.31496062992125984" right="0.31496062992125984" top="0.15748031496062992" bottom="0.15748031496062992" header="0.51181102362204722" footer="0.51181102362204722"/>
  <pageSetup paperSize="9" scale="70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view="pageBreakPreview" zoomScale="110" zoomScaleNormal="100" zoomScaleSheetLayoutView="110" workbookViewId="0">
      <selection activeCell="E65" sqref="E65"/>
    </sheetView>
  </sheetViews>
  <sheetFormatPr defaultRowHeight="14.4" x14ac:dyDescent="0.3"/>
  <cols>
    <col min="1" max="1" width="7" customWidth="1"/>
    <col min="2" max="2" width="21.6640625" customWidth="1"/>
    <col min="3" max="3" width="17.6640625" customWidth="1"/>
    <col min="4" max="4" width="15" customWidth="1"/>
    <col min="5" max="5" width="15.44140625" customWidth="1"/>
    <col min="6" max="6" width="14" customWidth="1"/>
    <col min="7" max="7" width="17.5546875" bestFit="1" customWidth="1"/>
    <col min="8" max="8" width="9.109375" customWidth="1"/>
    <col min="9" max="10" width="11" customWidth="1"/>
    <col min="11" max="11" width="9.5546875" customWidth="1"/>
    <col min="12" max="12" width="6.33203125" customWidth="1"/>
    <col min="13" max="13" width="11" customWidth="1"/>
    <col min="14" max="14" width="14" customWidth="1"/>
  </cols>
  <sheetData>
    <row r="1" spans="1:14" x14ac:dyDescent="0.3">
      <c r="A1" s="1"/>
      <c r="B1" s="1"/>
      <c r="C1" s="2"/>
      <c r="D1" s="2"/>
      <c r="E1" s="2"/>
      <c r="F1" s="2"/>
      <c r="K1" s="1"/>
      <c r="L1" s="2"/>
      <c r="M1" s="2"/>
      <c r="N1" s="9" t="s">
        <v>15</v>
      </c>
    </row>
    <row r="2" spans="1:14" x14ac:dyDescent="0.3">
      <c r="A2" s="3"/>
      <c r="B2" s="3"/>
      <c r="C2" s="4"/>
      <c r="D2" s="4"/>
      <c r="E2" s="4"/>
      <c r="F2" s="4"/>
      <c r="K2" s="3"/>
      <c r="L2" s="4"/>
      <c r="M2" s="2"/>
      <c r="N2" s="9" t="s">
        <v>55</v>
      </c>
    </row>
    <row r="3" spans="1:14" ht="15" x14ac:dyDescent="0.25">
      <c r="A3" s="1"/>
      <c r="B3" s="5" t="s">
        <v>18</v>
      </c>
      <c r="C3" s="2"/>
      <c r="D3" s="2"/>
      <c r="E3" s="2"/>
      <c r="F3" s="2"/>
      <c r="K3" s="1"/>
      <c r="L3" s="2"/>
      <c r="M3" s="2"/>
      <c r="N3" s="9"/>
    </row>
    <row r="4" spans="1:14" x14ac:dyDescent="0.3">
      <c r="A4" s="1"/>
      <c r="B4" s="1" t="s">
        <v>2</v>
      </c>
      <c r="C4" s="2"/>
      <c r="D4" s="2"/>
      <c r="E4" s="2"/>
      <c r="F4" s="2"/>
      <c r="K4" s="1"/>
      <c r="L4" s="1"/>
      <c r="M4" s="1"/>
    </row>
    <row r="5" spans="1:14" ht="15" x14ac:dyDescent="0.25">
      <c r="A5" s="1"/>
      <c r="B5" s="1"/>
      <c r="C5" s="2"/>
      <c r="D5" s="2"/>
      <c r="E5" s="2"/>
      <c r="F5" s="2"/>
      <c r="G5" s="1"/>
      <c r="H5" s="1"/>
      <c r="I5" s="1"/>
      <c r="J5" s="2"/>
      <c r="K5" s="2"/>
    </row>
    <row r="6" spans="1:14" ht="15" x14ac:dyDescent="0.25">
      <c r="A6" s="6"/>
      <c r="B6" s="7"/>
      <c r="F6" s="17" t="s">
        <v>3</v>
      </c>
      <c r="G6" s="6"/>
      <c r="H6" s="6"/>
      <c r="I6" s="6"/>
      <c r="J6" s="6"/>
      <c r="K6" s="8"/>
    </row>
    <row r="7" spans="1:14" ht="15" customHeight="1" x14ac:dyDescent="0.3">
      <c r="A7" s="42" t="s">
        <v>119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15" x14ac:dyDescent="0.25">
      <c r="A8" s="7"/>
    </row>
    <row r="9" spans="1:14" ht="75" customHeight="1" x14ac:dyDescent="0.3">
      <c r="A9" s="10" t="s">
        <v>4</v>
      </c>
      <c r="B9" s="10" t="s">
        <v>5</v>
      </c>
      <c r="C9" s="10" t="s">
        <v>6</v>
      </c>
      <c r="D9" s="10" t="s">
        <v>7</v>
      </c>
      <c r="E9" s="10" t="s">
        <v>14</v>
      </c>
      <c r="F9" s="10" t="s">
        <v>9</v>
      </c>
      <c r="G9" s="10" t="s">
        <v>10</v>
      </c>
      <c r="H9" s="11" t="s">
        <v>11</v>
      </c>
      <c r="I9" s="41" t="s">
        <v>22</v>
      </c>
      <c r="J9" s="24" t="s">
        <v>12</v>
      </c>
      <c r="K9" s="13" t="s">
        <v>16</v>
      </c>
      <c r="L9" s="13" t="s">
        <v>19</v>
      </c>
      <c r="M9" s="25" t="s">
        <v>13</v>
      </c>
      <c r="N9" s="25" t="s">
        <v>17</v>
      </c>
    </row>
    <row r="10" spans="1:14" x14ac:dyDescent="0.3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1">
        <v>14</v>
      </c>
    </row>
    <row r="11" spans="1:14" ht="28.2" x14ac:dyDescent="0.3">
      <c r="A11" s="15">
        <v>1</v>
      </c>
      <c r="B11" s="36" t="s">
        <v>57</v>
      </c>
      <c r="C11" s="37" t="s">
        <v>58</v>
      </c>
      <c r="D11" s="37" t="s">
        <v>59</v>
      </c>
      <c r="E11" s="37" t="s">
        <v>60</v>
      </c>
      <c r="F11" s="37" t="s">
        <v>61</v>
      </c>
      <c r="G11" s="37" t="s">
        <v>62</v>
      </c>
      <c r="H11" s="40">
        <v>2021</v>
      </c>
      <c r="I11" s="38">
        <v>2</v>
      </c>
      <c r="J11" s="35"/>
      <c r="K11" s="15"/>
      <c r="L11" s="15"/>
      <c r="M11" s="15"/>
      <c r="N11" s="15"/>
    </row>
    <row r="12" spans="1:14" ht="28.2" x14ac:dyDescent="0.3">
      <c r="A12" s="15">
        <v>2</v>
      </c>
      <c r="B12" s="36" t="s">
        <v>63</v>
      </c>
      <c r="C12" s="37" t="s">
        <v>20</v>
      </c>
      <c r="D12" s="37" t="s">
        <v>64</v>
      </c>
      <c r="E12" s="37" t="s">
        <v>65</v>
      </c>
      <c r="F12" s="37" t="s">
        <v>66</v>
      </c>
      <c r="G12" s="37" t="s">
        <v>67</v>
      </c>
      <c r="H12" s="40">
        <v>2013</v>
      </c>
      <c r="I12" s="38">
        <v>2</v>
      </c>
      <c r="J12" s="35"/>
      <c r="K12" s="15"/>
      <c r="L12" s="15"/>
      <c r="M12" s="15"/>
      <c r="N12" s="15"/>
    </row>
    <row r="13" spans="1:14" ht="28.2" x14ac:dyDescent="0.3">
      <c r="A13" s="15">
        <v>3</v>
      </c>
      <c r="B13" s="36" t="s">
        <v>68</v>
      </c>
      <c r="C13" s="37" t="s">
        <v>20</v>
      </c>
      <c r="D13" s="37" t="s">
        <v>69</v>
      </c>
      <c r="E13" s="37" t="s">
        <v>70</v>
      </c>
      <c r="F13" s="37" t="s">
        <v>71</v>
      </c>
      <c r="G13" s="37" t="s">
        <v>67</v>
      </c>
      <c r="H13" s="40">
        <v>2015</v>
      </c>
      <c r="I13" s="38">
        <v>2</v>
      </c>
      <c r="J13" s="35"/>
      <c r="K13" s="15"/>
      <c r="L13" s="15"/>
      <c r="M13" s="15"/>
      <c r="N13" s="15"/>
    </row>
    <row r="14" spans="1:14" ht="28.2" x14ac:dyDescent="0.3">
      <c r="A14" s="15">
        <v>4</v>
      </c>
      <c r="B14" s="36" t="s">
        <v>23</v>
      </c>
      <c r="C14" s="37" t="s">
        <v>20</v>
      </c>
      <c r="D14" s="37" t="s">
        <v>69</v>
      </c>
      <c r="E14" s="37" t="s">
        <v>72</v>
      </c>
      <c r="F14" s="37" t="s">
        <v>73</v>
      </c>
      <c r="G14" s="37" t="s">
        <v>67</v>
      </c>
      <c r="H14" s="40">
        <v>2014</v>
      </c>
      <c r="I14" s="38">
        <v>2</v>
      </c>
      <c r="J14" s="35"/>
      <c r="K14" s="15"/>
      <c r="L14" s="15"/>
      <c r="M14" s="15"/>
      <c r="N14" s="15"/>
    </row>
    <row r="15" spans="1:14" x14ac:dyDescent="0.3">
      <c r="A15" s="15">
        <v>5</v>
      </c>
      <c r="B15" s="36" t="s">
        <v>74</v>
      </c>
      <c r="C15" s="37" t="s">
        <v>20</v>
      </c>
      <c r="D15" s="37" t="s">
        <v>75</v>
      </c>
      <c r="E15" s="37" t="s">
        <v>76</v>
      </c>
      <c r="F15" s="37" t="s">
        <v>77</v>
      </c>
      <c r="G15" s="37" t="s">
        <v>67</v>
      </c>
      <c r="H15" s="40">
        <v>2019</v>
      </c>
      <c r="I15" s="38">
        <v>2</v>
      </c>
      <c r="J15" s="35"/>
      <c r="K15" s="15"/>
      <c r="L15" s="15"/>
      <c r="M15" s="15"/>
      <c r="N15" s="15"/>
    </row>
    <row r="16" spans="1:14" x14ac:dyDescent="0.3">
      <c r="A16" s="15">
        <v>6</v>
      </c>
      <c r="B16" s="36" t="s">
        <v>78</v>
      </c>
      <c r="C16" s="37" t="s">
        <v>20</v>
      </c>
      <c r="D16" s="37" t="s">
        <v>75</v>
      </c>
      <c r="E16" s="37" t="s">
        <v>79</v>
      </c>
      <c r="F16" s="37" t="s">
        <v>80</v>
      </c>
      <c r="G16" s="37" t="s">
        <v>67</v>
      </c>
      <c r="H16" s="40">
        <v>2017</v>
      </c>
      <c r="I16" s="38">
        <v>2</v>
      </c>
      <c r="J16" s="35"/>
      <c r="K16" s="15"/>
      <c r="L16" s="15"/>
      <c r="M16" s="15"/>
      <c r="N16" s="15"/>
    </row>
    <row r="17" spans="1:14" ht="28.2" x14ac:dyDescent="0.3">
      <c r="A17" s="15">
        <v>7</v>
      </c>
      <c r="B17" s="36" t="s">
        <v>81</v>
      </c>
      <c r="C17" s="37" t="s">
        <v>20</v>
      </c>
      <c r="D17" s="37" t="s">
        <v>75</v>
      </c>
      <c r="E17" s="37" t="s">
        <v>82</v>
      </c>
      <c r="F17" s="37" t="s">
        <v>83</v>
      </c>
      <c r="G17" s="37" t="s">
        <v>67</v>
      </c>
      <c r="H17" s="40">
        <v>2017</v>
      </c>
      <c r="I17" s="38">
        <v>2</v>
      </c>
      <c r="J17" s="35"/>
      <c r="K17" s="15"/>
      <c r="L17" s="15"/>
      <c r="M17" s="15"/>
      <c r="N17" s="15"/>
    </row>
    <row r="18" spans="1:14" ht="28.2" x14ac:dyDescent="0.3">
      <c r="A18" s="15">
        <v>8</v>
      </c>
      <c r="B18" s="36" t="s">
        <v>84</v>
      </c>
      <c r="C18" s="37" t="s">
        <v>20</v>
      </c>
      <c r="D18" s="37" t="s">
        <v>75</v>
      </c>
      <c r="E18" s="37" t="s">
        <v>85</v>
      </c>
      <c r="F18" s="37" t="s">
        <v>86</v>
      </c>
      <c r="G18" s="37" t="s">
        <v>67</v>
      </c>
      <c r="H18" s="40">
        <v>2014</v>
      </c>
      <c r="I18" s="38">
        <v>2</v>
      </c>
      <c r="J18" s="35"/>
      <c r="K18" s="15"/>
      <c r="L18" s="15"/>
      <c r="M18" s="15"/>
      <c r="N18" s="15"/>
    </row>
    <row r="19" spans="1:14" x14ac:dyDescent="0.3">
      <c r="A19" s="15">
        <v>9</v>
      </c>
      <c r="B19" s="36" t="s">
        <v>21</v>
      </c>
      <c r="C19" s="37" t="s">
        <v>20</v>
      </c>
      <c r="D19" s="37" t="s">
        <v>75</v>
      </c>
      <c r="E19" s="37" t="s">
        <v>87</v>
      </c>
      <c r="F19" s="37" t="s">
        <v>88</v>
      </c>
      <c r="G19" s="37" t="s">
        <v>67</v>
      </c>
      <c r="H19" s="40">
        <v>2020</v>
      </c>
      <c r="I19" s="38">
        <v>2</v>
      </c>
      <c r="J19" s="35"/>
      <c r="K19" s="15"/>
      <c r="L19" s="15"/>
      <c r="M19" s="15"/>
      <c r="N19" s="15"/>
    </row>
    <row r="20" spans="1:14" ht="28.2" x14ac:dyDescent="0.3">
      <c r="A20" s="15">
        <v>10</v>
      </c>
      <c r="B20" s="36" t="s">
        <v>89</v>
      </c>
      <c r="C20" s="37" t="s">
        <v>20</v>
      </c>
      <c r="D20" s="37" t="s">
        <v>75</v>
      </c>
      <c r="E20" s="37" t="s">
        <v>90</v>
      </c>
      <c r="F20" s="37" t="s">
        <v>91</v>
      </c>
      <c r="G20" s="37" t="s">
        <v>67</v>
      </c>
      <c r="H20" s="40">
        <v>2019</v>
      </c>
      <c r="I20" s="38">
        <v>2</v>
      </c>
      <c r="J20" s="35"/>
      <c r="K20" s="15"/>
      <c r="L20" s="15"/>
      <c r="M20" s="15"/>
      <c r="N20" s="15"/>
    </row>
    <row r="21" spans="1:14" ht="28.2" x14ac:dyDescent="0.3">
      <c r="A21" s="15">
        <v>11</v>
      </c>
      <c r="B21" s="36" t="s">
        <v>92</v>
      </c>
      <c r="C21" s="37" t="s">
        <v>20</v>
      </c>
      <c r="D21" s="37" t="s">
        <v>93</v>
      </c>
      <c r="E21" s="39" t="s">
        <v>94</v>
      </c>
      <c r="F21" s="37" t="s">
        <v>95</v>
      </c>
      <c r="G21" s="37" t="s">
        <v>96</v>
      </c>
      <c r="H21" s="40">
        <v>2009</v>
      </c>
      <c r="I21" s="38">
        <v>2</v>
      </c>
      <c r="J21" s="35"/>
      <c r="K21" s="15"/>
      <c r="L21" s="15"/>
      <c r="M21" s="15"/>
      <c r="N21" s="15"/>
    </row>
    <row r="22" spans="1:14" ht="28.2" x14ac:dyDescent="0.3">
      <c r="A22" s="15">
        <v>12</v>
      </c>
      <c r="B22" s="36" t="s">
        <v>97</v>
      </c>
      <c r="C22" s="37" t="s">
        <v>20</v>
      </c>
      <c r="D22" s="37" t="s">
        <v>93</v>
      </c>
      <c r="E22" s="37" t="s">
        <v>98</v>
      </c>
      <c r="F22" s="37" t="s">
        <v>99</v>
      </c>
      <c r="G22" s="37" t="s">
        <v>96</v>
      </c>
      <c r="H22" s="40">
        <v>2008</v>
      </c>
      <c r="I22" s="38">
        <v>2</v>
      </c>
      <c r="J22" s="35"/>
      <c r="K22" s="15"/>
      <c r="L22" s="15"/>
      <c r="M22" s="15"/>
      <c r="N22" s="15"/>
    </row>
    <row r="23" spans="1:14" ht="55.8" x14ac:dyDescent="0.3">
      <c r="A23" s="15">
        <v>13</v>
      </c>
      <c r="B23" s="36" t="s">
        <v>100</v>
      </c>
      <c r="C23" s="37" t="s">
        <v>20</v>
      </c>
      <c r="D23" s="37" t="s">
        <v>93</v>
      </c>
      <c r="E23" s="37" t="s">
        <v>101</v>
      </c>
      <c r="F23" s="37" t="s">
        <v>102</v>
      </c>
      <c r="G23" s="37" t="s">
        <v>96</v>
      </c>
      <c r="H23" s="40">
        <v>2010</v>
      </c>
      <c r="I23" s="38">
        <v>2</v>
      </c>
      <c r="J23" s="35"/>
      <c r="K23" s="15"/>
      <c r="L23" s="15"/>
      <c r="M23" s="15"/>
      <c r="N23" s="15"/>
    </row>
    <row r="24" spans="1:14" x14ac:dyDescent="0.3">
      <c r="A24" s="15">
        <v>14</v>
      </c>
      <c r="B24" s="36" t="s">
        <v>103</v>
      </c>
      <c r="C24" s="37" t="s">
        <v>20</v>
      </c>
      <c r="D24" s="37" t="s">
        <v>93</v>
      </c>
      <c r="E24" s="37" t="s">
        <v>104</v>
      </c>
      <c r="F24" s="37" t="s">
        <v>105</v>
      </c>
      <c r="G24" s="37" t="s">
        <v>96</v>
      </c>
      <c r="H24" s="40">
        <v>2010</v>
      </c>
      <c r="I24" s="38">
        <v>2</v>
      </c>
      <c r="J24" s="35"/>
      <c r="K24" s="15"/>
      <c r="L24" s="15"/>
      <c r="M24" s="15"/>
      <c r="N24" s="15"/>
    </row>
    <row r="25" spans="1:14" x14ac:dyDescent="0.3">
      <c r="A25" s="15">
        <v>15</v>
      </c>
      <c r="B25" s="36" t="s">
        <v>106</v>
      </c>
      <c r="C25" s="37" t="s">
        <v>20</v>
      </c>
      <c r="D25" s="37" t="s">
        <v>93</v>
      </c>
      <c r="E25" s="37" t="s">
        <v>107</v>
      </c>
      <c r="F25" s="37" t="s">
        <v>108</v>
      </c>
      <c r="G25" s="37" t="s">
        <v>96</v>
      </c>
      <c r="H25" s="40">
        <v>2014</v>
      </c>
      <c r="I25" s="38">
        <v>2</v>
      </c>
      <c r="J25" s="35"/>
      <c r="K25" s="15"/>
      <c r="L25" s="15"/>
      <c r="M25" s="15"/>
      <c r="N25" s="15"/>
    </row>
    <row r="26" spans="1:14" ht="28.2" x14ac:dyDescent="0.3">
      <c r="A26" s="15">
        <v>16</v>
      </c>
      <c r="B26" s="36" t="s">
        <v>63</v>
      </c>
      <c r="C26" s="37" t="s">
        <v>20</v>
      </c>
      <c r="D26" s="37" t="s">
        <v>93</v>
      </c>
      <c r="E26" s="37" t="s">
        <v>109</v>
      </c>
      <c r="F26" s="37" t="s">
        <v>110</v>
      </c>
      <c r="G26" s="37" t="s">
        <v>96</v>
      </c>
      <c r="H26" s="40">
        <v>2010</v>
      </c>
      <c r="I26" s="38">
        <v>2</v>
      </c>
      <c r="J26" s="35"/>
      <c r="K26" s="15"/>
      <c r="L26" s="15"/>
      <c r="M26" s="15"/>
      <c r="N26" s="15"/>
    </row>
    <row r="27" spans="1:14" ht="28.2" x14ac:dyDescent="0.3">
      <c r="A27" s="15">
        <v>17</v>
      </c>
      <c r="B27" s="36" t="s">
        <v>63</v>
      </c>
      <c r="C27" s="37" t="s">
        <v>20</v>
      </c>
      <c r="D27" s="37" t="s">
        <v>93</v>
      </c>
      <c r="E27" s="37" t="s">
        <v>111</v>
      </c>
      <c r="F27" s="37" t="s">
        <v>112</v>
      </c>
      <c r="G27" s="37" t="s">
        <v>96</v>
      </c>
      <c r="H27" s="40">
        <v>2009</v>
      </c>
      <c r="I27" s="38">
        <v>2</v>
      </c>
      <c r="J27" s="35"/>
      <c r="K27" s="15"/>
      <c r="L27" s="15"/>
      <c r="M27" s="15"/>
      <c r="N27" s="15"/>
    </row>
    <row r="28" spans="1:14" x14ac:dyDescent="0.3">
      <c r="A28" s="15">
        <v>18</v>
      </c>
      <c r="B28" s="36" t="s">
        <v>113</v>
      </c>
      <c r="C28" s="37" t="s">
        <v>20</v>
      </c>
      <c r="D28" s="37" t="s">
        <v>93</v>
      </c>
      <c r="E28" s="37" t="s">
        <v>114</v>
      </c>
      <c r="F28" s="37" t="s">
        <v>115</v>
      </c>
      <c r="G28" s="37" t="s">
        <v>96</v>
      </c>
      <c r="H28" s="40">
        <v>2009</v>
      </c>
      <c r="I28" s="38">
        <v>2</v>
      </c>
      <c r="J28" s="35"/>
      <c r="K28" s="15"/>
      <c r="L28" s="15"/>
      <c r="M28" s="15"/>
      <c r="N28" s="15"/>
    </row>
    <row r="29" spans="1:14" ht="28.2" x14ac:dyDescent="0.3">
      <c r="A29" s="15">
        <v>19</v>
      </c>
      <c r="B29" s="36" t="s">
        <v>116</v>
      </c>
      <c r="C29" s="37" t="s">
        <v>20</v>
      </c>
      <c r="D29" s="37" t="s">
        <v>93</v>
      </c>
      <c r="E29" s="37" t="s">
        <v>117</v>
      </c>
      <c r="F29" s="37" t="s">
        <v>118</v>
      </c>
      <c r="G29" s="37" t="s">
        <v>96</v>
      </c>
      <c r="H29" s="40">
        <v>2015</v>
      </c>
      <c r="I29" s="38">
        <v>2</v>
      </c>
      <c r="J29" s="35"/>
      <c r="K29" s="15"/>
      <c r="L29" s="15"/>
      <c r="M29" s="15"/>
      <c r="N29" s="15"/>
    </row>
    <row r="30" spans="1:14" x14ac:dyDescent="0.3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23"/>
      <c r="L30" s="16"/>
      <c r="M30" s="23"/>
      <c r="N30" s="16"/>
    </row>
    <row r="31" spans="1:14" x14ac:dyDescent="0.3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3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x14ac:dyDescent="0.3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x14ac:dyDescent="0.3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x14ac:dyDescent="0.3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x14ac:dyDescent="0.3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x14ac:dyDescent="0.3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x14ac:dyDescent="0.3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x14ac:dyDescent="0.3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x14ac:dyDescent="0.3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x14ac:dyDescent="0.3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x14ac:dyDescent="0.3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x14ac:dyDescent="0.3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x14ac:dyDescent="0.3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x14ac:dyDescent="0.3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x14ac:dyDescent="0.3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 x14ac:dyDescent="0.3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x14ac:dyDescent="0.3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14" x14ac:dyDescent="0.3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x14ac:dyDescent="0.3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x14ac:dyDescent="0.3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3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3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3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 x14ac:dyDescent="0.3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1:14" x14ac:dyDescent="0.3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x14ac:dyDescent="0.3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x14ac:dyDescent="0.3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x14ac:dyDescent="0.3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4" x14ac:dyDescent="0.3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</sheetData>
  <mergeCells count="1">
    <mergeCell ref="A7:N7"/>
  </mergeCells>
  <pageMargins left="0.23622047244094491" right="0.23622047244094491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Zadanie 1</vt:lpstr>
      <vt:lpstr>Zadanie 2</vt:lpstr>
      <vt:lpstr>'Zadanie 1'!Obszar_wydruku</vt:lpstr>
      <vt:lpstr>'Zadanie 2'!Obszar_wydruku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 Anna</dc:creator>
  <cp:lastModifiedBy>Banaszak Jacek</cp:lastModifiedBy>
  <cp:lastPrinted>2023-09-19T08:32:27Z</cp:lastPrinted>
  <dcterms:created xsi:type="dcterms:W3CDTF">2021-09-16T06:54:03Z</dcterms:created>
  <dcterms:modified xsi:type="dcterms:W3CDTF">2023-09-19T08:32:48Z</dcterms:modified>
</cp:coreProperties>
</file>