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ZAMÓWIENIA PUBLICZNE\01. POSTĘPOWANIA ZP\2023\WIPP.BZPiFZ.271.6.2023 - przebudowa odcinka Kujawskiej\"/>
    </mc:Choice>
  </mc:AlternateContent>
  <bookViews>
    <workbookView xWindow="-120" yWindow="-120" windowWidth="20730" windowHeight="11160"/>
  </bookViews>
  <sheets>
    <sheet name="ZZK" sheetId="15" r:id="rId1"/>
  </sheets>
  <definedNames>
    <definedName name="_xlnm.Print_Area" localSheetId="0">ZZK!$A$1:$G$191</definedName>
    <definedName name="_xlnm.Print_Titles" localSheetId="0">ZZK!$17:$20</definedName>
  </definedNames>
  <calcPr calcId="191029" fullPrecision="0"/>
</workbook>
</file>

<file path=xl/calcChain.xml><?xml version="1.0" encoding="utf-8"?>
<calcChain xmlns="http://schemas.openxmlformats.org/spreadsheetml/2006/main">
  <c r="E63" i="15" l="1"/>
  <c r="E105" i="15" l="1"/>
  <c r="E103" i="15"/>
  <c r="E102" i="15"/>
  <c r="E90" i="15"/>
  <c r="K91" i="15"/>
  <c r="E98" i="15" l="1"/>
  <c r="E99" i="15"/>
  <c r="E95" i="15"/>
  <c r="E96" i="15"/>
  <c r="E91" i="15"/>
  <c r="E79" i="15"/>
  <c r="E67" i="15"/>
  <c r="E66" i="15"/>
  <c r="E62" i="15"/>
  <c r="E60" i="15"/>
  <c r="E59" i="15"/>
  <c r="E52" i="15"/>
  <c r="E28" i="15"/>
  <c r="E27" i="15"/>
  <c r="E125" i="15"/>
  <c r="G125" i="15" s="1"/>
  <c r="E113" i="15"/>
  <c r="G113" i="15" s="1"/>
  <c r="G49" i="15" l="1"/>
  <c r="G48" i="15" s="1"/>
  <c r="G103" i="15"/>
  <c r="G90" i="15"/>
  <c r="G79" i="15"/>
  <c r="G148" i="15"/>
  <c r="G147" i="15"/>
  <c r="G149" i="15" s="1"/>
  <c r="G144" i="15"/>
  <c r="G143" i="15"/>
  <c r="G142" i="15"/>
  <c r="G141" i="15"/>
  <c r="G140" i="15"/>
  <c r="G139" i="15"/>
  <c r="G138" i="15"/>
  <c r="G137" i="15"/>
  <c r="G136" i="15"/>
  <c r="G134" i="15"/>
  <c r="G133" i="15"/>
  <c r="G132" i="15"/>
  <c r="G131" i="15"/>
  <c r="G130" i="15"/>
  <c r="G129" i="15"/>
  <c r="G128" i="15"/>
  <c r="G127" i="15"/>
  <c r="G126" i="15"/>
  <c r="G124" i="15"/>
  <c r="E123" i="15"/>
  <c r="G123" i="15" s="1"/>
  <c r="E122" i="15"/>
  <c r="G122" i="15" s="1"/>
  <c r="G121" i="15"/>
  <c r="G119" i="15"/>
  <c r="G118" i="15"/>
  <c r="G117" i="15"/>
  <c r="G116" i="15"/>
  <c r="G115" i="15"/>
  <c r="G114" i="15"/>
  <c r="E112" i="15"/>
  <c r="G112" i="15" s="1"/>
  <c r="E111" i="15"/>
  <c r="G111" i="15" s="1"/>
  <c r="E110" i="15"/>
  <c r="G110" i="15" s="1"/>
  <c r="G109" i="15"/>
  <c r="G102" i="15"/>
  <c r="G99" i="15"/>
  <c r="G98" i="15"/>
  <c r="G96" i="15"/>
  <c r="G95" i="15"/>
  <c r="E86" i="15"/>
  <c r="G86" i="15" s="1"/>
  <c r="G85" i="15" s="1"/>
  <c r="E84" i="15"/>
  <c r="G84" i="15" s="1"/>
  <c r="G83" i="15" s="1"/>
  <c r="E81" i="15"/>
  <c r="G81" i="15" s="1"/>
  <c r="G80" i="15" s="1"/>
  <c r="E78" i="15"/>
  <c r="G78" i="15" s="1"/>
  <c r="E73" i="15"/>
  <c r="G73" i="15" s="1"/>
  <c r="E72" i="15"/>
  <c r="G72" i="15" s="1"/>
  <c r="E71" i="15"/>
  <c r="G71" i="15" s="1"/>
  <c r="E70" i="15"/>
  <c r="E69" i="15"/>
  <c r="G69" i="15" s="1"/>
  <c r="E65" i="15"/>
  <c r="G59" i="15"/>
  <c r="E55" i="15"/>
  <c r="G55" i="15" s="1"/>
  <c r="E38" i="15"/>
  <c r="G38" i="15" s="1"/>
  <c r="E37" i="15"/>
  <c r="G37" i="15" s="1"/>
  <c r="E35" i="15"/>
  <c r="G35" i="15" s="1"/>
  <c r="E34" i="15"/>
  <c r="G34" i="15" s="1"/>
  <c r="E33" i="15"/>
  <c r="G33" i="15" s="1"/>
  <c r="E32" i="15"/>
  <c r="G32" i="15" s="1"/>
  <c r="E31" i="15"/>
  <c r="G31" i="15" s="1"/>
  <c r="E24" i="15"/>
  <c r="G24" i="15" s="1"/>
  <c r="G23" i="15" s="1"/>
  <c r="E88" i="15"/>
  <c r="G88" i="15" s="1"/>
  <c r="G87" i="15" s="1"/>
  <c r="E53" i="15"/>
  <c r="G53" i="15" s="1"/>
  <c r="E39" i="15"/>
  <c r="G39" i="15" s="1"/>
  <c r="G47" i="15"/>
  <c r="G46" i="15"/>
  <c r="G45" i="15"/>
  <c r="G43" i="15"/>
  <c r="G42" i="15"/>
  <c r="G28" i="15"/>
  <c r="G27" i="15"/>
  <c r="E29" i="15"/>
  <c r="G29" i="15" s="1"/>
  <c r="G70" i="15"/>
  <c r="G105" i="15"/>
  <c r="G104" i="15" s="1"/>
  <c r="G91" i="15"/>
  <c r="E75" i="15"/>
  <c r="G75" i="15" s="1"/>
  <c r="G74" i="15" s="1"/>
  <c r="G67" i="15"/>
  <c r="G66" i="15"/>
  <c r="G63" i="15"/>
  <c r="G62" i="15"/>
  <c r="G60" i="15"/>
  <c r="E41" i="15"/>
  <c r="G41" i="15" s="1"/>
  <c r="E26" i="15"/>
  <c r="G65" i="15"/>
  <c r="G120" i="15" l="1"/>
  <c r="G52" i="15"/>
  <c r="G108" i="15"/>
  <c r="G58" i="15"/>
  <c r="E64" i="15"/>
  <c r="G101" i="15"/>
  <c r="G100" i="15" s="1"/>
  <c r="E94" i="15"/>
  <c r="G77" i="15"/>
  <c r="G76" i="15" s="1"/>
  <c r="G64" i="15"/>
  <c r="G61" i="15" s="1"/>
  <c r="G44" i="15"/>
  <c r="G145" i="15"/>
  <c r="G89" i="15"/>
  <c r="G82" i="15" s="1"/>
  <c r="E77" i="15"/>
  <c r="G51" i="15"/>
  <c r="E56" i="15"/>
  <c r="G56" i="15" s="1"/>
  <c r="G54" i="15" s="1"/>
  <c r="G26" i="15"/>
  <c r="G25" i="15" s="1"/>
  <c r="E36" i="15"/>
  <c r="E40" i="15" s="1"/>
  <c r="G40" i="15" s="1"/>
  <c r="G94" i="15"/>
  <c r="G36" i="15"/>
  <c r="G97" i="15"/>
  <c r="G68" i="15"/>
  <c r="E97" i="15"/>
  <c r="G135" i="15" l="1"/>
  <c r="G93" i="15"/>
  <c r="G92" i="15" s="1"/>
  <c r="G57" i="15"/>
  <c r="G50" i="15"/>
  <c r="G30" i="15"/>
  <c r="G22" i="15" s="1"/>
  <c r="G150" i="15"/>
  <c r="G106" i="15" l="1"/>
  <c r="G187" i="15" s="1"/>
</calcChain>
</file>

<file path=xl/sharedStrings.xml><?xml version="1.0" encoding="utf-8"?>
<sst xmlns="http://schemas.openxmlformats.org/spreadsheetml/2006/main" count="412" uniqueCount="287">
  <si>
    <t>NAWIERZCHNIE</t>
  </si>
  <si>
    <t>5.1</t>
  </si>
  <si>
    <t>5.1.1</t>
  </si>
  <si>
    <t>D.05.03.05/a.13</t>
  </si>
  <si>
    <t>D.05.03.05/b.26</t>
  </si>
  <si>
    <t>Lp.</t>
  </si>
  <si>
    <t>D 01.00.00</t>
  </si>
  <si>
    <t>ROBOTY PRZYGOTOWAWCZE</t>
  </si>
  <si>
    <t>km</t>
  </si>
  <si>
    <t>1.2.1</t>
  </si>
  <si>
    <t>1.2.2</t>
  </si>
  <si>
    <t>ha</t>
  </si>
  <si>
    <t>1.3.1</t>
  </si>
  <si>
    <t>1.3.2</t>
  </si>
  <si>
    <t>1.3.3</t>
  </si>
  <si>
    <t>1.3.4</t>
  </si>
  <si>
    <t>1.3.5</t>
  </si>
  <si>
    <t>1.1</t>
  </si>
  <si>
    <t>m</t>
  </si>
  <si>
    <t>1.2</t>
  </si>
  <si>
    <t>1.3</t>
  </si>
  <si>
    <t>2.1</t>
  </si>
  <si>
    <t>m3</t>
  </si>
  <si>
    <t>2.2</t>
  </si>
  <si>
    <t>4.1</t>
  </si>
  <si>
    <t>1.4</t>
  </si>
  <si>
    <t>szt.</t>
  </si>
  <si>
    <t>D 04.01.01</t>
  </si>
  <si>
    <t>Wykonanie wykopów w gruntach kat. I-V</t>
  </si>
  <si>
    <t>Wykonanie nasypów</t>
  </si>
  <si>
    <t>D 06.00.00</t>
  </si>
  <si>
    <t>ROBOTY WYKOŃCZENIOWE</t>
  </si>
  <si>
    <t>6.1</t>
  </si>
  <si>
    <t>6.1.1</t>
  </si>
  <si>
    <t>D 02.03.01</t>
  </si>
  <si>
    <t>Warstwa odsączająca</t>
  </si>
  <si>
    <t>Szczegóły konstrukcyjne</t>
  </si>
  <si>
    <t>Wykonanie warstwy odsączającej  grubości 15 cm z piasku</t>
  </si>
  <si>
    <t>D 04.03.01</t>
  </si>
  <si>
    <t>D 04.04.02</t>
  </si>
  <si>
    <t>Oczyszczenie i skropienie warstw konstrukcyjnych</t>
  </si>
  <si>
    <t>Podbudowa z betonu asfaltowego (0/25)</t>
  </si>
  <si>
    <t>D 04.07.01</t>
  </si>
  <si>
    <t>D 05.00.00</t>
  </si>
  <si>
    <t>D 05.03.05/a</t>
  </si>
  <si>
    <t>Podbudowa z kruszywa łamanego stabilizowanego mechanicznie 0/31,5 mm,</t>
  </si>
  <si>
    <t>Wykonanie podbudowy pomocniczej z kruszywa łamanego stabilizowanego mechanicznie, grubość 20 cm, 0/31,5 mm</t>
  </si>
  <si>
    <t>Nawierzchnia z betonu asfaltowego - warstwa ścieralna</t>
  </si>
  <si>
    <t>D 05.03.05/b</t>
  </si>
  <si>
    <t>Frezowanie nawierzchni asfaltowych na zimno</t>
  </si>
  <si>
    <t>D 05.03.11</t>
  </si>
  <si>
    <t>D 05.03.23</t>
  </si>
  <si>
    <t>Nawierzchnia z kostki brukowej betonowej</t>
  </si>
  <si>
    <t>8.3</t>
  </si>
  <si>
    <t>D 02.00.00</t>
  </si>
  <si>
    <t>ROBOTY ZIEMNE</t>
  </si>
  <si>
    <t>2.1.1</t>
  </si>
  <si>
    <t>4.3</t>
  </si>
  <si>
    <t>4.3.1</t>
  </si>
  <si>
    <t>Nawierzchnia z betonu asfaltowego - warstwa wiążąca</t>
  </si>
  <si>
    <t>4.4</t>
  </si>
  <si>
    <t>4.4.1</t>
  </si>
  <si>
    <t>2.2.1</t>
  </si>
  <si>
    <t>2.2.2</t>
  </si>
  <si>
    <t>D 04.00.00</t>
  </si>
  <si>
    <t>PODBUDOWY</t>
  </si>
  <si>
    <t>4.1.1</t>
  </si>
  <si>
    <t>Koryto wraz z profilowaniem i zagęszczeniem podłoża</t>
  </si>
  <si>
    <t xml:space="preserve">Plantowanie poboczy gruntowych i rowów (obrobienie na czysto) mechanicznie w gruntach kat. III : </t>
  </si>
  <si>
    <t>Humusowanie skarp i rowu z obsianiem trawą, z wykorzystaniem wcześniej spryzmowanego humusu,  przy grubości warstwy humusu 10 cm</t>
  </si>
  <si>
    <t>D 08.00.00</t>
  </si>
  <si>
    <t>ELEMENTY ULIC</t>
  </si>
  <si>
    <t>8.1</t>
  </si>
  <si>
    <t>D 01.01.01</t>
  </si>
  <si>
    <t>D 01.02.01</t>
  </si>
  <si>
    <t>D 01.02.04</t>
  </si>
  <si>
    <t>D 02.01.01</t>
  </si>
  <si>
    <t>D 08.01.01</t>
  </si>
  <si>
    <t>D 08.03.01</t>
  </si>
  <si>
    <t>Betonowe obrzeża chodnikowe</t>
  </si>
  <si>
    <t>profil podłużny</t>
  </si>
  <si>
    <t>Plan sytuacyjny</t>
  </si>
  <si>
    <t>Rozebranie słupków (masztów) do znaków drogowych (z wywozem)</t>
  </si>
  <si>
    <t>Zdjęcie tarcz (tablic) znaków drogowych (z wywozem)</t>
  </si>
  <si>
    <t xml:space="preserve">- Mechaniczne ścinanie drzew z karczowaniem pni i korzeni, zasypaniem dołów z zagęszczeniem po korzeniach  i wywozem materiału drzewnego na odkład na terenie budowy do 3 km </t>
  </si>
  <si>
    <t>1.3.6</t>
  </si>
  <si>
    <t xml:space="preserve">Wywiezienie materiałów z rozbiórki samochodami samowyładowczymi na odległość do 1 km </t>
  </si>
  <si>
    <t>1.3.7</t>
  </si>
  <si>
    <t>1.3.8</t>
  </si>
  <si>
    <t>1.3.9</t>
  </si>
  <si>
    <t>1.3.10</t>
  </si>
  <si>
    <t>3.1</t>
  </si>
  <si>
    <t>3.1.1</t>
  </si>
  <si>
    <t>Regulacja pionowa i pozioma zaworów wodnych i hydrantów</t>
  </si>
  <si>
    <t>Regulacja pionowa zaworów gazowych</t>
  </si>
  <si>
    <t>Regulacja studni kanalizacyjnych</t>
  </si>
  <si>
    <t>1.4.1</t>
  </si>
  <si>
    <t>1.4.2</t>
  </si>
  <si>
    <t>1.4.3</t>
  </si>
  <si>
    <t>Krawężniki betonowe</t>
  </si>
  <si>
    <t>Wywiezienie gruntu z wykopu samochodami samowyładowczymi - dodatek za każdy dodatkowy 1 km (dalsze 5 km)</t>
  </si>
  <si>
    <t>Usunięcie drzew i krzewów</t>
  </si>
  <si>
    <t>Wytyczenie trasy i punktów wysokościowych</t>
  </si>
  <si>
    <t>Roboty rozbiórkowe</t>
  </si>
  <si>
    <t>Reguacja urządzeń podziemnych</t>
  </si>
  <si>
    <t>D 04.02.01</t>
  </si>
  <si>
    <t>Podbudowa z kruszywa kamiennego,</t>
  </si>
  <si>
    <t>D 04.04.01</t>
  </si>
  <si>
    <t>8.2</t>
  </si>
  <si>
    <t>D 06.03.01</t>
  </si>
  <si>
    <t>Plantowanie z humusowaniem i obsianiem trawą</t>
  </si>
  <si>
    <t>6.1.2</t>
  </si>
  <si>
    <t>- ulica Kujawska 08 KD.D  odcinek 0+066,40 km do 0+510,60 km</t>
  </si>
  <si>
    <r>
      <t>m</t>
    </r>
    <r>
      <rPr>
        <vertAlign val="superscript"/>
        <sz val="11"/>
        <rFont val="Calibri"/>
        <family val="2"/>
        <charset val="238"/>
      </rPr>
      <t>2</t>
    </r>
  </si>
  <si>
    <r>
      <t>m</t>
    </r>
    <r>
      <rPr>
        <vertAlign val="superscript"/>
        <sz val="11"/>
        <rFont val="Calibri"/>
        <family val="2"/>
        <charset val="238"/>
      </rPr>
      <t>3</t>
    </r>
  </si>
  <si>
    <t>a</t>
  </si>
  <si>
    <t>b</t>
  </si>
  <si>
    <t>- Mechaniczne ścinanie drzew z karczowaniem pni o średnicy 36-55 cm
ul. Kujawska arkusz 2/4 - 2 szt. ; akusz 3/4 - 3 szt.</t>
  </si>
  <si>
    <t>Karczowanie krzaków i poszycia z wywozem na odkład (do wykorzystania przez Wykonawcę)
ul. Kujawska arkusz 2/4 - 0,02 ha. ; akusz 3/4 - 0,10 ha</t>
  </si>
  <si>
    <t xml:space="preserve">Wywiezienie materiałów z rozbiórki samochodami samowyładowczymi - dodatek za każdy dodatkowy 1 km (dalsze 5 km)
poz. przedmiaru 1.3.6 </t>
  </si>
  <si>
    <t>Rozebranie ogrodzeń z siatki stalowej  
ul. Kujawska: 107,4 m &lt;działka nr 1280/5&gt;+56,1m&lt;działka 1280/7 pos. Nr 32b&gt;+55,6m&lt; działka nr 1042/2 pos. Nr 38a&gt;+21,00&lt;pos. nr 38b&gt;</t>
  </si>
  <si>
    <t>2.1.2</t>
  </si>
  <si>
    <t>Wykonywanie nasypów mechanicznie z gr. kat. III  i transportem gruntu na odl. 1 km z formowaniem i zagęszczaniem
ul. Kujawska: 1860,49&lt;nawierzchnia i podbudowa istniejaca&gt;-1622,86 &lt;wykop pod jezdnię&gt;+279,12*0,66&lt; uzupełnienie gruntu po wybranej nawierzchni, poza nową droga&gt;m3</t>
  </si>
  <si>
    <t>Dowiezienie gruntu do nasypów samochodami samowyładowczymi - dodatek za każdy dodatkowy 1 km (dalsze 5 km)
poz. przedmiaru 2.2.1</t>
  </si>
  <si>
    <t>3.1.2</t>
  </si>
  <si>
    <t>3.2</t>
  </si>
  <si>
    <t>3.2.1</t>
  </si>
  <si>
    <t>3.2.2</t>
  </si>
  <si>
    <t>3.2.3</t>
  </si>
  <si>
    <t>3.2.4</t>
  </si>
  <si>
    <t>3.3</t>
  </si>
  <si>
    <t>3.3.1</t>
  </si>
  <si>
    <t>3.3.2</t>
  </si>
  <si>
    <t>3.3.3</t>
  </si>
  <si>
    <t>3.3.4</t>
  </si>
  <si>
    <t>3.3.5</t>
  </si>
  <si>
    <t>3.4</t>
  </si>
  <si>
    <t>3.4.1</t>
  </si>
  <si>
    <t>3.5</t>
  </si>
  <si>
    <t>3.5.1</t>
  </si>
  <si>
    <t>3.6</t>
  </si>
  <si>
    <t>3.6.1</t>
  </si>
  <si>
    <t>4.2</t>
  </si>
  <si>
    <t>4.2.1</t>
  </si>
  <si>
    <t>4.4.2</t>
  </si>
  <si>
    <t>5.1.2</t>
  </si>
  <si>
    <t>6.2</t>
  </si>
  <si>
    <t>6.2.1</t>
  </si>
  <si>
    <t>Cena jedn.</t>
  </si>
  <si>
    <t>Wartość</t>
  </si>
  <si>
    <t>c</t>
  </si>
  <si>
    <t>j.m.</t>
  </si>
  <si>
    <t xml:space="preserve">Kanalizacja sanitarna </t>
  </si>
  <si>
    <t>Odcinek S30-S34</t>
  </si>
  <si>
    <t>KNR-W 2-01 0211-06</t>
  </si>
  <si>
    <t>Wykopy oraz przekopy wykonywane koparkami przedsiębiernymi 0.40 m3 na odkład w gruncie kat. III</t>
  </si>
  <si>
    <t>KNR-W 2-18 0511-03</t>
  </si>
  <si>
    <t>Podsypka grub. 30 cm</t>
  </si>
  <si>
    <t>KNR-W 2-18 0511-01</t>
  </si>
  <si>
    <t>Obsypka grub. 10 cm</t>
  </si>
  <si>
    <t>KNR-W 2-18 0408-03</t>
  </si>
  <si>
    <t>Kanały z rur PVC łączonych na wcisk o śr. zewn. 200 mm</t>
  </si>
  <si>
    <t>KNR 2-28 0409-01</t>
  </si>
  <si>
    <t>KNR-W 2-01 0222-01</t>
  </si>
  <si>
    <t>Zasypywanie wykopów spycharkami z przemieszczeniem gruntu na odległość do 10 m w gruncie kat. I-III</t>
  </si>
  <si>
    <t>KNR-W 2-01 0228-02</t>
  </si>
  <si>
    <t>Zagęszczenie nasypów ubijakami mechanicznymi; grunty spoiste kat. III-IV</t>
  </si>
  <si>
    <t>Odcinek S34-S41</t>
  </si>
  <si>
    <t>Podsypka grub. 30 cm (50% ziemi dowiezionej)</t>
  </si>
  <si>
    <t>25,41</t>
  </si>
  <si>
    <t>Obsypka grub. 10 cm (50% ziemi dowiezionej)</t>
  </si>
  <si>
    <t>8,47</t>
  </si>
  <si>
    <t>Kanały z rur PVC łączonych na wcisk kl. S o śr. zewn. 160 mm</t>
  </si>
  <si>
    <t>Kształtki PVC kanalizacji zewnętrznej jednokielichowe łączone na wcisk o śr. zewn. 160 mm ZAŚLEPKA</t>
  </si>
  <si>
    <t>szt</t>
  </si>
  <si>
    <t>Kształtki PVC kanalizacji zewnętrznej jednokielichowe łączone na wcisk o śr. zewn. 200 mm ZAŚLEPKA</t>
  </si>
  <si>
    <t>Zasypywanie wykopów spycharkami z przemieszczeniem gruntu na odległość do 10 m w gruncie kat. I-III (70%)</t>
  </si>
  <si>
    <t>Odwodnienie wykopów</t>
  </si>
  <si>
    <t>Igłofiltry o śr. do 50 mm wpłukiwane w grunt bezpośrednio bez obsypki na głębokość do 4 m</t>
  </si>
  <si>
    <t>Praca zestawu igłofiltrów</t>
  </si>
  <si>
    <t>m-g</t>
  </si>
  <si>
    <t>Wywiezienie materiałów z rozbiórki samochodami samowyładowczymi z utylizacją 
nawierzchnia bitumiczna: (454*6,1)*0,1</t>
  </si>
  <si>
    <t>Rozebranie podbudowy z tłucznia wapiennego o  grubości średniej 20 cm 
 ul. Kujawska  (454,0*6,1)</t>
  </si>
  <si>
    <t>-    tłuczeń wapienny: 454,0*6,1*0,2</t>
  </si>
  <si>
    <t>Rozebranie podbudowy z żuzlowej o średniej grubości średniej 30 cm 
 ul. Kujawska  (454,0*6,1)</t>
  </si>
  <si>
    <t>-    żużel: 454,0*6,1*0,3</t>
  </si>
  <si>
    <t>Rozebranie podbudowy z kamieni, guzu betonowego i piasku o  grubości (od 21 cm do 32 cm)  średnio 40 cm
 ul. Kujawska  (454,0*6,1)</t>
  </si>
  <si>
    <t>-  gruz betonowy, kamienie i piasek: 454,0*6,1*0,4</t>
  </si>
  <si>
    <t>Rozebranie nawierzchni z mieszanek mineralno-bitumicznych o grubości   10 cm
ul. Kujawska  (454,0*6,1)</t>
  </si>
  <si>
    <t>- ul. Kujawska - jezdnia 447*6,0</t>
  </si>
  <si>
    <t>Oczyszczenie warstw niebitumicznych
ul. Kujawska - jezdnia 447*6,0</t>
  </si>
  <si>
    <t>Oczyszczenie warstw bitumicznych
ul. Kujawska - jezdnia (447*6,0)*2.</t>
  </si>
  <si>
    <t xml:space="preserve">Skropienie warstw niebitumicznych asfaltem w ilości 0,6 kg/m2
ul. Kujawska - jezdnia 447*6,0 </t>
  </si>
  <si>
    <t>Skropienie warstw bitumicznych asfaltem w ilości 0,4 kg/m2
ul. Kujawska - jezdnia (447*6,0)*2.</t>
  </si>
  <si>
    <t>Skropienie warstw bitumicznych asfaltem w ilości 0,2 kg/m2
ul. Kujawska - jezdnia (447*6,0)*2.</t>
  </si>
  <si>
    <t>- ul. Kujawska - jezdnia 447,0*6,0</t>
  </si>
  <si>
    <t>Wykonanie podbudowy  zasadniczej z  betonu asfaltowego o uziarnieniu 0/25, grubość w-wy 7 cm 
ul. Kujawska - jezdnia 447,0*6,0</t>
  </si>
  <si>
    <t>Wykonanie nawierzchni z betonu asfaltowego o uziarnieniu 0/20 - warstwa wiążąca, gr. 6 cm: 
ul. Kujawska - jezdnia 447,0*6,0</t>
  </si>
  <si>
    <t>Wykonanie nawierzchni z betonu asfaltowego o uziarnieniu 0/12,8 warstwa ścieralna , gr. 5 cm
ul. Kujawska - jezdnia 447,0 * 6,0</t>
  </si>
  <si>
    <t>Ustawienie krawężników betonowych o wymiarach 15x22x100 cm wtopionych (na podsypce cementowo-piaskowej 1:4 gr. 3 cm i ławie bet. z bet. B-15 o wym. 25x10 cm z oporem bet. z betonu B-15 o wym. 10x15 cm i na podsypce piaskowej gr. 3 cm)
ul. Kujawska: krawężniki wtopione ( jezdnia-wjazd) 447,0*2</t>
  </si>
  <si>
    <t>Branża drogowa razem netto</t>
  </si>
  <si>
    <t>Branża sanitarna razem netto</t>
  </si>
  <si>
    <t>Rodzaj robót</t>
  </si>
  <si>
    <t>ilość</t>
  </si>
  <si>
    <t>Zbiorcze Zestawienie Kosztów - załącznik nr 7 do SWZ</t>
  </si>
  <si>
    <t xml:space="preserve">Kwoty ryczałtowe robót muszą obejmować: </t>
  </si>
  <si>
    <t xml:space="preserve">-  robociznę bezpośrednią wraz z kosztami towarzyszącymi, </t>
  </si>
  <si>
    <t xml:space="preserve">-  wartość użytych materiałów wraz z kosztami zakupu, magazynowania, ewentualnych ubytków i transportu na teren budowy, </t>
  </si>
  <si>
    <t xml:space="preserve">-  wartość pracy sprzętu wraz z kosztami towarzyszącymi, </t>
  </si>
  <si>
    <t>Do cen jednostkowych nie należy doliczać podatku VAT.</t>
  </si>
  <si>
    <t xml:space="preserve"> Zamawiający nie odpowiada za prawidłowość formuł w pliku EXCEL  Wykonawca jest zobowiązany do ich sprawdzenia.</t>
  </si>
  <si>
    <t xml:space="preserve">Wykonawca ma prawo do wprowadzenia zmian w ZZK w zakresie  podstaw wyceny, obmiarów dopisania lub usunięcia pozycji, pod warunkiwm zaznaczenia wprowadzonych zmian w widoczny sposób (np. innym kolorem)
Wycena poszczególnych pozycji ZZK winna uwzględniać wszystkie czynności, wymagania i badania składające się na ich wykonanie, określone dla tych robót w Specyfikacjach Technicznych Wykonania i Odbioru Robót i w Dokumentacji Projektowej. </t>
  </si>
  <si>
    <t>Całkowita wartość robót netto</t>
  </si>
  <si>
    <t>……………………….</t>
  </si>
  <si>
    <t>podpis upoważnionego przedstawiciela Wykomnawcy</t>
  </si>
  <si>
    <t>Data: ……………...………………………</t>
  </si>
  <si>
    <t>7.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</si>
  <si>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</si>
  <si>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</si>
  <si>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</si>
  <si>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</si>
  <si>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</si>
  <si>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</si>
  <si>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</si>
  <si>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</si>
  <si>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</si>
  <si>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</si>
  <si>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</t>
  </si>
  <si>
    <t>8.4</t>
  </si>
  <si>
    <t>8.5</t>
  </si>
  <si>
    <t>8.7</t>
  </si>
  <si>
    <t>8.8</t>
  </si>
  <si>
    <t>8.9</t>
  </si>
  <si>
    <t>8.10</t>
  </si>
  <si>
    <t>8.11</t>
  </si>
  <si>
    <t>8.12</t>
  </si>
  <si>
    <t>8.13</t>
  </si>
  <si>
    <t>Zadanie:</t>
  </si>
  <si>
    <t>Przebudowa odcinka ulicy Kujawskiej (droga gminna nr 051038C) o dług. 447,0 m w Solcu Kujawskim</t>
  </si>
  <si>
    <t>Przebudowa - ul. Kujawska KD.D (odcinek V-VI). Branża drogowa</t>
  </si>
  <si>
    <t>Przebudowa - ul. Kujawska KD.D (odcinek V-VI). Branża sanitarna</t>
  </si>
  <si>
    <t>Podsta
wa</t>
  </si>
  <si>
    <t>Wykonanie frezowania nawierzchni asfaltowych na zimno na średnią głębokość 3 cm 
(frezowiny do wykorzystania na podbudowę na zjazdach na drogi nieulepszone), 
ul. Kujawska:, połączenie z istniejącymi nawierzchniami</t>
  </si>
  <si>
    <t>Zabezpieczenia kabli</t>
  </si>
  <si>
    <t>1.5</t>
  </si>
  <si>
    <t>1.5.1</t>
  </si>
  <si>
    <t>Montaż rur dwudzielnych na kablach energetycznych - A 160PS</t>
  </si>
  <si>
    <t>ind.</t>
  </si>
  <si>
    <t>-  koszty pośrednie, zysk kalkulacyjny, koszty wynikające z wymagań SWZ oraz STWiOR  oraz ryzyko związane z ryczałtowym sposobem rozliczenia</t>
  </si>
  <si>
    <r>
      <t xml:space="preserve">Wykonawca:    </t>
    </r>
    <r>
      <rPr>
        <b/>
        <sz val="11"/>
        <color indexed="8"/>
        <rFont val="Calibri"/>
        <family val="2"/>
        <charset val="238"/>
      </rPr>
      <t>…………………………………………………………………..</t>
    </r>
  </si>
  <si>
    <r>
      <t xml:space="preserve">Zamwiający:   </t>
    </r>
    <r>
      <rPr>
        <b/>
        <sz val="11"/>
        <color indexed="8"/>
        <rFont val="Calibri"/>
        <family val="2"/>
        <charset val="238"/>
      </rPr>
      <t>Gmina Solec Kujawski</t>
    </r>
  </si>
  <si>
    <t>7.11</t>
  </si>
  <si>
    <t>Kanały z rur PVC łączonych na wcisk o śr. zewn. 160 mm</t>
  </si>
  <si>
    <t>8.14</t>
  </si>
  <si>
    <t>8.15</t>
  </si>
  <si>
    <t>*)</t>
  </si>
  <si>
    <t>Studnia S-31 z tworzyw sztucznych DN 1200 S31 H=4,16 *)</t>
  </si>
  <si>
    <t>Studnia S-32 z tworzyw sztucznych DN 1200 S32 H=3,73 *)</t>
  </si>
  <si>
    <t>Studnia S-33 z tworzyw sztucznych DN 1200 S33 H=3,43 *)</t>
  </si>
  <si>
    <t>Studnia S-34 z tworzyw sztucznych DN 1200 S34 H=3,23 *)</t>
  </si>
  <si>
    <t>Studnia S-35 z tworzyw sztucznych DN 1200 S35 H=3,09 *)</t>
  </si>
  <si>
    <t>Studnia S-36 i S-36' (dodatkowa) z tworzyw sztucznych DN 1200 S36 H=2,77*)</t>
  </si>
  <si>
    <t>Studnia S-37  z tworzyw sztucznych DN 1200 S37 H=2,54 *)</t>
  </si>
  <si>
    <t>Studnia S-38 z tworzyw sztucznych DN 1200 S38 H=2,41 *)</t>
  </si>
  <si>
    <t>Studnia S-39 z tworzyw sztucznych DN 1200 S39 H=2,19 *)</t>
  </si>
  <si>
    <t>Studnia S-40 z tworzyw sztucznych DN 1200 S40 H=1,96 *)</t>
  </si>
  <si>
    <t>Studnia S-41 z tworzyw sztucznych DN 1200 S41 H=1,80 *)</t>
  </si>
  <si>
    <t>KNR-W 2-18 0408-04</t>
  </si>
  <si>
    <t>wszystkie montowane studnie muszą mieć odejścia o średnicy fi 160 wyprowadzone do granicy działki drogowej - dla zapewnienia możliwości podłączenia do sieci przyłączy - bez naruszania nawierzchnin jezdni i chodnika</t>
  </si>
  <si>
    <t>- Mechaniczne ścinanie drzew z karczowaniem pni o średnicy 10-35 cm
ul. Kujawska arkusz 2/4 - 16 szt. ; akusz 3/4 - 3 szt.</t>
  </si>
  <si>
    <t>Wykonanie wykopów mechanicznie w gr. kat. III z wywozem na odkład  do 1 km
chodnik ulica Kujawska: 1,6*512,0*0,3</t>
  </si>
  <si>
    <t>Wyprofilowanie i zagęszczenie koryta gruntowego pod nawierzchnię 
ul. Kujawska - jezdnia 447,0*6,5+148,91&lt;poszerzenia&gt;+chodnik 512,0*1,66-54,5*1,66&lt;wjazdy</t>
  </si>
  <si>
    <t>Wykonanie koryta mechanicznie wraz z profilowaniem i zagęszczeniem podłoża w gruntach kat. III głębokość koryta 31 cm
ul. Kujawska wjazdy - strona lewa: 145,92+68,0*0,3&lt;pod ławy&gt;; prawa strona:100,74+120,28*0,3</t>
  </si>
  <si>
    <t>Wykonanie warstwy odsączającej  grubości 9 cm z piasku
ul. Kujawska - chodnik 512,0*1,5-54,5*1,5&lt;wjazdy&gt;</t>
  </si>
  <si>
    <t xml:space="preserve"> - ul. Kujawska: ławy pod krawężniki  wtopione ( jezdnia-wjazd) (447 -54,39&lt;lewa strona&gt;+ 447-37,2&lt; prawa strona&gt;)*0,3</t>
  </si>
  <si>
    <t>Wykonanie warstwy odsączającej  grubości 30 cm z piasku
ul. Kujawska: pod ławy pod krawężniki  wjazdów od jezdni (54,5&lt;lewa strona&gt;+37,2&lt; prawa strona&gt;)*0,26</t>
  </si>
  <si>
    <t>Wykonanie podbudowy zasadniczej z kruszywa kamiennego, grubość 10 cm, 
ul. Kujawska - chodnik 512,0*1,5-54,5*1,5&lt;wjazdy</t>
  </si>
  <si>
    <t>- ul. Kujawska wjazdy - strona lewa: 193,32+prawa strona:100,74+pod ławy pod krawężniki  wjazdów od jezdni 54,5&lt;lewa strona&gt;+37,2 &lt;strona prawa&gt;</t>
  </si>
  <si>
    <t xml:space="preserve">Wykonanie nawierzchni z brukowej kostki betonowej koloru szarego grubości 8 cm na podsypce cementowo-piaskowej 1:4 grubości 3 cm
ul. Kujawska wjazdy 12 szt - strona lewa+11 szt - strona prawa </t>
  </si>
  <si>
    <t>Wykonanie nawierzchni z brukowej kostki betonowej koloru szarego grubości 8 cm na podsypce cementowo-piaskowej 1:4 grubości 3 cm
ul. Kujawska - chodnik 512,0*1,5-54,5*1,5&lt;wjazdy</t>
  </si>
  <si>
    <t>ul. Kujawska: pas zieleni z rowem (447,0-54,5&lt;wjazdy&gt;)*1,7</t>
  </si>
  <si>
    <t>-ul. Kujawska:wzdłuż nawierzchni chodnika (512,0-54,5,0&lt;wjazdy&gt; )*1,0+wzdłuż nawierzchni jezdni (447-37,2&lt;wjazdy&gt;)*0,85</t>
  </si>
  <si>
    <t>- ul. Kujawska:wzdłuż nawierzchni chodnika (512,0-54,5&lt;wjazdy&gt; )*1+ wzdłuż nawierzchni jezdni (447-37,2&lt;wjazdy&gt;)*0,85</t>
  </si>
  <si>
    <t>- ul. Kujawska: pas zieleni z rowem (447,0-54,5&lt;wjazdy&gt;)*1,7</t>
  </si>
  <si>
    <t>Ustawienie krawężników betonowych o wymiarach 15x30x100 cm wystających (na podsypce cementowo-piaskowej 1:4 gr. 3 cm i ławie bet. z bet. B-15 o wym. 30x10 cm z oporem bet. z betonu B-15 o wym. 10x15 cm i na podsypce piaskowej gr. 3 cm)
ul. Kujawska: krawężniki: wjazdy po obwodzie 87,2+52+58+33</t>
  </si>
  <si>
    <t>Ustawianie obrzeży betonowych o wymiarach 8*25*100 cm na podsypce piaskowej gr. 5 cm, spoiny wypełnione zaprawą cementową
ulica Kujawska: 1024,0-54,5-37,2&lt;wjazdy&gt;</t>
  </si>
  <si>
    <t>Wykonanie warstwy odsączającej  grubości 10 cm z piasku
ul. Kujawska: pod zjazdy: 266,38 + 119,26, pod ławy krawężników - wjazdy po obwodzie - strona lewa: 68,0*0,3+ 120,28*0,3+8,5*0,3&lt;wjazd-droga,pod ławy&gt;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</si>
</sst>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(* #,##0.00_);_(* \(#,##0.00\);_(* &quot;-&quot;??_);_(@_)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vertAlign val="superscript"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rgb="FF000000"/>
      <name val="Microsoft Sans Serif"/>
      <family val="2"/>
    </font>
    <font>
      <sz val="9"/>
      <color rgb="FF000000"/>
      <name val="Microsoft Sans Serif"/>
      <family val="2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/>
  </cellStyleXfs>
  <cellXfs count="15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4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0" fillId="0" borderId="2" xfId="0" quotePrefix="1" applyNumberFormat="1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right" vertical="center" wrapText="1"/>
    </xf>
    <xf numFmtId="43" fontId="10" fillId="3" borderId="2" xfId="1" applyFont="1" applyFill="1" applyBorder="1" applyAlignment="1">
      <alignment horizontal="right" vertical="center" wrapText="1"/>
    </xf>
    <xf numFmtId="14" fontId="10" fillId="0" borderId="1" xfId="0" quotePrefix="1" applyNumberFormat="1" applyFont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vertical="center" wrapText="1"/>
    </xf>
    <xf numFmtId="1" fontId="10" fillId="0" borderId="2" xfId="0" quotePrefix="1" applyNumberFormat="1" applyFont="1" applyBorder="1" applyAlignment="1">
      <alignment vertical="center" wrapText="1"/>
    </xf>
    <xf numFmtId="0" fontId="10" fillId="3" borderId="1" xfId="0" quotePrefix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12" fillId="0" borderId="1" xfId="0" quotePrefix="1" applyFont="1" applyBorder="1" applyAlignment="1">
      <alignment horizontal="center" vertical="center" wrapText="1"/>
    </xf>
    <xf numFmtId="16" fontId="10" fillId="3" borderId="1" xfId="0" quotePrefix="1" applyNumberFormat="1" applyFont="1" applyFill="1" applyBorder="1" applyAlignment="1">
      <alignment horizontal="center" vertical="center" wrapText="1"/>
    </xf>
    <xf numFmtId="49" fontId="16" fillId="0" borderId="14" xfId="3" applyNumberFormat="1" applyFont="1" applyBorder="1" applyAlignment="1">
      <alignment vertical="top" wrapText="1" shrinkToFit="1" readingOrder="1"/>
    </xf>
    <xf numFmtId="0" fontId="16" fillId="0" borderId="14" xfId="3" applyFont="1" applyBorder="1" applyAlignment="1">
      <alignment vertical="top" wrapText="1" shrinkToFit="1" readingOrder="1"/>
    </xf>
    <xf numFmtId="49" fontId="15" fillId="2" borderId="14" xfId="3" applyNumberFormat="1" applyFont="1" applyFill="1" applyBorder="1" applyAlignment="1">
      <alignment vertical="top" wrapText="1" shrinkToFit="1" readingOrder="1"/>
    </xf>
    <xf numFmtId="0" fontId="7" fillId="0" borderId="0" xfId="0" applyFont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3" fontId="7" fillId="0" borderId="0" xfId="1" applyFont="1" applyFill="1" applyAlignment="1">
      <alignment horizontal="right" vertical="center"/>
    </xf>
    <xf numFmtId="43" fontId="12" fillId="0" borderId="4" xfId="1" applyFont="1" applyFill="1" applyBorder="1" applyAlignment="1">
      <alignment horizontal="right" vertical="center" wrapText="1"/>
    </xf>
    <xf numFmtId="43" fontId="9" fillId="3" borderId="4" xfId="1" applyFont="1" applyFill="1" applyBorder="1" applyAlignment="1">
      <alignment horizontal="right" vertical="center"/>
    </xf>
    <xf numFmtId="43" fontId="7" fillId="0" borderId="4" xfId="1" applyFont="1" applyFill="1" applyBorder="1" applyAlignment="1">
      <alignment horizontal="right" vertical="center"/>
    </xf>
    <xf numFmtId="43" fontId="7" fillId="2" borderId="4" xfId="1" applyFont="1" applyFill="1" applyBorder="1" applyAlignment="1">
      <alignment horizontal="right" vertical="center"/>
    </xf>
    <xf numFmtId="43" fontId="7" fillId="3" borderId="4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right" vertical="center"/>
    </xf>
    <xf numFmtId="43" fontId="7" fillId="2" borderId="2" xfId="1" applyFont="1" applyFill="1" applyBorder="1" applyAlignment="1">
      <alignment horizontal="right" vertical="center"/>
    </xf>
    <xf numFmtId="43" fontId="7" fillId="3" borderId="2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43" fontId="20" fillId="0" borderId="0" xfId="1" applyFont="1" applyFill="1" applyAlignment="1">
      <alignment horizontal="right" vertical="center"/>
    </xf>
    <xf numFmtId="43" fontId="21" fillId="0" borderId="0" xfId="1" applyFont="1" applyAlignment="1">
      <alignment horizontal="right" vertical="center" wrapText="1"/>
    </xf>
    <xf numFmtId="43" fontId="12" fillId="0" borderId="2" xfId="1" applyFont="1" applyFill="1" applyBorder="1" applyAlignment="1">
      <alignment horizontal="right" vertical="center" wrapText="1"/>
    </xf>
    <xf numFmtId="43" fontId="10" fillId="2" borderId="2" xfId="1" applyFont="1" applyFill="1" applyBorder="1" applyAlignment="1">
      <alignment horizontal="right" vertical="center" wrapText="1"/>
    </xf>
    <xf numFmtId="43" fontId="10" fillId="3" borderId="2" xfId="1" quotePrefix="1" applyFont="1" applyFill="1" applyBorder="1" applyAlignment="1">
      <alignment horizontal="right" vertical="center" wrapText="1"/>
    </xf>
    <xf numFmtId="43" fontId="15" fillId="2" borderId="14" xfId="1" applyFont="1" applyFill="1" applyBorder="1" applyAlignment="1">
      <alignment horizontal="right" vertical="top" wrapText="1" shrinkToFit="1"/>
    </xf>
    <xf numFmtId="43" fontId="16" fillId="0" borderId="14" xfId="1" applyFont="1" applyBorder="1" applyAlignment="1">
      <alignment horizontal="right" vertical="top" wrapText="1" shrinkToFit="1"/>
    </xf>
    <xf numFmtId="43" fontId="16" fillId="0" borderId="14" xfId="1" applyFont="1" applyBorder="1" applyAlignment="1" applyProtection="1">
      <alignment horizontal="right" vertical="top" wrapText="1" shrinkToFit="1"/>
    </xf>
    <xf numFmtId="43" fontId="15" fillId="0" borderId="14" xfId="1" applyFont="1" applyBorder="1" applyAlignment="1">
      <alignment horizontal="right" vertical="top" wrapText="1" shrinkToFit="1"/>
    </xf>
    <xf numFmtId="43" fontId="11" fillId="0" borderId="0" xfId="1" applyFont="1" applyFill="1" applyBorder="1" applyAlignment="1">
      <alignment horizontal="right" vertical="center"/>
    </xf>
    <xf numFmtId="43" fontId="7" fillId="0" borderId="0" xfId="1" applyFont="1" applyFill="1" applyBorder="1" applyAlignment="1">
      <alignment horizontal="right" vertical="center"/>
    </xf>
    <xf numFmtId="43" fontId="11" fillId="0" borderId="0" xfId="1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43" fontId="9" fillId="3" borderId="2" xfId="1" applyFont="1" applyFill="1" applyBorder="1" applyAlignment="1">
      <alignment horizontal="right" vertical="center"/>
    </xf>
    <xf numFmtId="43" fontId="14" fillId="2" borderId="2" xfId="1" applyFont="1" applyFill="1" applyBorder="1" applyAlignment="1">
      <alignment horizontal="right" vertical="center"/>
    </xf>
    <xf numFmtId="43" fontId="14" fillId="3" borderId="2" xfId="1" applyFont="1" applyFill="1" applyBorder="1" applyAlignment="1">
      <alignment horizontal="right" vertical="center"/>
    </xf>
    <xf numFmtId="43" fontId="16" fillId="0" borderId="15" xfId="1" applyFont="1" applyBorder="1" applyAlignment="1">
      <alignment horizontal="right" vertical="top" wrapText="1" shrinkToFit="1"/>
    </xf>
    <xf numFmtId="43" fontId="17" fillId="0" borderId="15" xfId="1" applyFont="1" applyBorder="1" applyAlignment="1" applyProtection="1">
      <alignment horizontal="right" vertical="top" wrapText="1" shrinkToFit="1"/>
    </xf>
    <xf numFmtId="43" fontId="15" fillId="0" borderId="15" xfId="1" applyFont="1" applyBorder="1" applyAlignment="1">
      <alignment horizontal="right" vertical="top" wrapText="1" shrinkToFit="1"/>
    </xf>
    <xf numFmtId="43" fontId="16" fillId="0" borderId="2" xfId="1" applyFont="1" applyBorder="1" applyAlignment="1">
      <alignment horizontal="right" vertical="top" wrapText="1" shrinkToFit="1"/>
    </xf>
    <xf numFmtId="43" fontId="17" fillId="0" borderId="2" xfId="1" applyFont="1" applyBorder="1" applyAlignment="1" applyProtection="1">
      <alignment horizontal="right" vertical="top" wrapText="1" shrinkToFit="1"/>
    </xf>
    <xf numFmtId="43" fontId="15" fillId="0" borderId="2" xfId="1" applyFont="1" applyBorder="1" applyAlignment="1">
      <alignment horizontal="right" vertical="top" wrapText="1" shrinkToFit="1"/>
    </xf>
    <xf numFmtId="43" fontId="11" fillId="0" borderId="2" xfId="1" applyFont="1" applyFill="1" applyBorder="1" applyAlignment="1">
      <alignment horizontal="right" vertical="center"/>
    </xf>
    <xf numFmtId="0" fontId="18" fillId="0" borderId="2" xfId="3" applyFont="1" applyBorder="1" applyAlignment="1">
      <alignment horizontal="right" vertical="top" wrapText="1" shrinkToFit="1" readingOrder="1"/>
    </xf>
    <xf numFmtId="49" fontId="18" fillId="0" borderId="2" xfId="3" applyNumberFormat="1" applyFont="1" applyBorder="1" applyAlignment="1">
      <alignment horizontal="right" vertical="top" wrapText="1" shrinkToFit="1" readingOrder="1"/>
    </xf>
    <xf numFmtId="0" fontId="17" fillId="0" borderId="2" xfId="3" applyFont="1" applyBorder="1" applyAlignment="1">
      <alignment horizontal="right" vertical="top" wrapText="1" shrinkToFit="1" readingOrder="1"/>
    </xf>
    <xf numFmtId="49" fontId="15" fillId="0" borderId="2" xfId="3" applyNumberFormat="1" applyFont="1" applyBorder="1" applyAlignment="1">
      <alignment horizontal="right" vertical="top" wrapText="1" shrinkToFit="1" readingOrder="1"/>
    </xf>
    <xf numFmtId="0" fontId="16" fillId="0" borderId="2" xfId="3" applyFont="1" applyBorder="1" applyAlignment="1">
      <alignment horizontal="right" vertical="top" wrapText="1" shrinkToFit="1" readingOrder="1"/>
    </xf>
    <xf numFmtId="49" fontId="16" fillId="0" borderId="2" xfId="3" applyNumberFormat="1" applyFont="1" applyBorder="1" applyAlignment="1">
      <alignment horizontal="right" vertical="top" wrapText="1" shrinkToFit="1" readingOrder="1"/>
    </xf>
    <xf numFmtId="0" fontId="15" fillId="0" borderId="2" xfId="3" applyFont="1" applyBorder="1" applyAlignment="1">
      <alignment horizontal="right" vertical="top" wrapText="1" shrinkToFit="1" readingOrder="1"/>
    </xf>
    <xf numFmtId="0" fontId="11" fillId="0" borderId="2" xfId="0" applyFont="1" applyBorder="1" applyAlignment="1">
      <alignment horizontal="right" vertical="center"/>
    </xf>
    <xf numFmtId="0" fontId="18" fillId="0" borderId="12" xfId="3" applyFont="1" applyBorder="1" applyAlignment="1">
      <alignment horizontal="right" vertical="top" wrapText="1" shrinkToFit="1" readingOrder="1"/>
    </xf>
    <xf numFmtId="49" fontId="18" fillId="0" borderId="12" xfId="3" applyNumberFormat="1" applyFont="1" applyBorder="1" applyAlignment="1">
      <alignment horizontal="right" vertical="top" wrapText="1" shrinkToFit="1" readingOrder="1"/>
    </xf>
    <xf numFmtId="43" fontId="16" fillId="0" borderId="12" xfId="1" applyFont="1" applyBorder="1" applyAlignment="1">
      <alignment horizontal="right" vertical="top" wrapText="1" shrinkToFit="1"/>
    </xf>
    <xf numFmtId="43" fontId="16" fillId="0" borderId="23" xfId="1" applyFont="1" applyBorder="1" applyAlignment="1">
      <alignment horizontal="right" vertical="top" wrapText="1" shrinkToFit="1"/>
    </xf>
    <xf numFmtId="43" fontId="9" fillId="0" borderId="4" xfId="1" applyFont="1" applyFill="1" applyBorder="1" applyAlignment="1">
      <alignment horizontal="right" vertical="center"/>
    </xf>
    <xf numFmtId="43" fontId="19" fillId="0" borderId="4" xfId="1" applyFont="1" applyFill="1" applyBorder="1" applyAlignment="1">
      <alignment horizontal="right" vertical="center"/>
    </xf>
    <xf numFmtId="0" fontId="27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28" fillId="2" borderId="14" xfId="3" applyNumberFormat="1" applyFont="1" applyFill="1" applyBorder="1" applyAlignment="1">
      <alignment vertical="top" wrapText="1" shrinkToFit="1" readingOrder="1"/>
    </xf>
    <xf numFmtId="49" fontId="29" fillId="0" borderId="14" xfId="3" applyNumberFormat="1" applyFont="1" applyBorder="1" applyAlignment="1">
      <alignment vertical="top" wrapText="1" shrinkToFit="1" readingOrder="1"/>
    </xf>
    <xf numFmtId="0" fontId="12" fillId="0" borderId="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10" fillId="0" borderId="0" xfId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3" fontId="9" fillId="2" borderId="4" xfId="1" applyFont="1" applyFill="1" applyBorder="1" applyAlignment="1">
      <alignment horizontal="right" vertical="center"/>
    </xf>
    <xf numFmtId="49" fontId="16" fillId="0" borderId="14" xfId="3" applyNumberFormat="1" applyFont="1" applyBorder="1" applyAlignment="1">
      <alignment horizontal="center" vertical="top" wrapText="1" shrinkToFit="1" readingOrder="1"/>
    </xf>
    <xf numFmtId="49" fontId="15" fillId="2" borderId="14" xfId="3" applyNumberFormat="1" applyFont="1" applyFill="1" applyBorder="1" applyAlignment="1">
      <alignment horizontal="center" vertical="top" wrapText="1" shrinkToFit="1" readingOrder="1"/>
    </xf>
    <xf numFmtId="43" fontId="7" fillId="0" borderId="0" xfId="0" applyNumberFormat="1" applyFont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3" fontId="10" fillId="0" borderId="10" xfId="1" applyFont="1" applyFill="1" applyBorder="1" applyAlignment="1">
      <alignment horizontal="center" vertical="center" wrapText="1"/>
    </xf>
    <xf numFmtId="43" fontId="10" fillId="0" borderId="11" xfId="1" applyFont="1" applyFill="1" applyBorder="1" applyAlignment="1">
      <alignment horizontal="center" vertical="center" wrapText="1"/>
    </xf>
    <xf numFmtId="43" fontId="10" fillId="0" borderId="12" xfId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3" fontId="7" fillId="0" borderId="9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right" vertical="center"/>
    </xf>
    <xf numFmtId="0" fontId="5" fillId="0" borderId="0" xfId="0" quotePrefix="1" applyFont="1" applyAlignment="1">
      <alignment horizontal="left" vertical="center" wrapText="1"/>
    </xf>
    <xf numFmtId="164" fontId="26" fillId="0" borderId="2" xfId="2" applyFont="1" applyBorder="1" applyAlignment="1" applyProtection="1">
      <alignment horizontal="right" vertical="top" wrapText="1" shrinkToFit="1" readingOrder="1"/>
    </xf>
    <xf numFmtId="0" fontId="22" fillId="0" borderId="17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49" fontId="18" fillId="0" borderId="18" xfId="3" applyNumberFormat="1" applyFont="1" applyBorder="1" applyAlignment="1">
      <alignment horizontal="center" vertical="top" wrapText="1" shrinkToFit="1" readingOrder="1"/>
    </xf>
    <xf numFmtId="49" fontId="18" fillId="0" borderId="19" xfId="3" applyNumberFormat="1" applyFont="1" applyBorder="1" applyAlignment="1">
      <alignment horizontal="center" vertical="top" wrapText="1" shrinkToFit="1" readingOrder="1"/>
    </xf>
    <xf numFmtId="49" fontId="18" fillId="0" borderId="16" xfId="3" applyNumberFormat="1" applyFont="1" applyBorder="1" applyAlignment="1">
      <alignment horizontal="center" vertical="top" wrapText="1" shrinkToFit="1" readingOrder="1"/>
    </xf>
    <xf numFmtId="49" fontId="18" fillId="0" borderId="20" xfId="3" applyNumberFormat="1" applyFont="1" applyBorder="1" applyAlignment="1">
      <alignment horizontal="center" vertical="top" wrapText="1" shrinkToFit="1" readingOrder="1"/>
    </xf>
    <xf numFmtId="49" fontId="18" fillId="0" borderId="21" xfId="3" applyNumberFormat="1" applyFont="1" applyBorder="1" applyAlignment="1">
      <alignment horizontal="center" vertical="top" wrapText="1" shrinkToFit="1" readingOrder="1"/>
    </xf>
    <xf numFmtId="49" fontId="18" fillId="0" borderId="22" xfId="3" applyNumberFormat="1" applyFont="1" applyBorder="1" applyAlignment="1">
      <alignment horizontal="center" vertical="top" wrapText="1" shrinkToFit="1" readingOrder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3" fontId="23" fillId="0" borderId="18" xfId="1" applyFont="1" applyFill="1" applyBorder="1" applyAlignment="1">
      <alignment horizontal="right" vertical="center"/>
    </xf>
    <xf numFmtId="43" fontId="23" fillId="0" borderId="24" xfId="1" applyFont="1" applyFill="1" applyBorder="1" applyAlignment="1">
      <alignment horizontal="right" vertical="center"/>
    </xf>
    <xf numFmtId="43" fontId="23" fillId="0" borderId="19" xfId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43" fontId="7" fillId="0" borderId="13" xfId="1" applyFont="1" applyFill="1" applyBorder="1" applyAlignment="1">
      <alignment horizontal="center" vertical="center"/>
    </xf>
    <xf numFmtId="43" fontId="7" fillId="0" borderId="4" xfId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5">
    <cellStyle name="Dziesiętny" xfId="1" builtinId="3"/>
    <cellStyle name="Dziesiętny 2" xfId="2"/>
    <cellStyle name="Normalny" xfId="0" builtinId="0"/>
    <cellStyle name="Normalny 2" xfId="3"/>
    <cellStyle name="Normalny_Kosztorys_ofertowy 1 i 2 ZAP_w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75"/>
  <sheetViews>
    <sheetView tabSelected="1" view="pageBreakPreview" zoomScaleNormal="100" zoomScaleSheetLayoutView="100" workbookViewId="0">
      <selection activeCell="C63" sqref="C63"/>
    </sheetView>
  </sheetViews>
  <sheetFormatPr defaultRowHeight="12" x14ac:dyDescent="0.2"/>
  <cols>
    <col min="1" max="1" width="7" style="10" customWidth="1"/>
    <col min="2" max="2" width="9.42578125" style="10" customWidth="1"/>
    <col min="3" max="3" width="46.28515625" style="11" customWidth="1"/>
    <col min="4" max="4" width="7.28515625" style="10" customWidth="1"/>
    <col min="5" max="5" width="11.7109375" style="67" customWidth="1"/>
    <col min="6" max="6" width="11.7109375" style="46" bestFit="1" customWidth="1"/>
    <col min="7" max="7" width="15.28515625" style="46" customWidth="1"/>
    <col min="8" max="16384" width="9.140625" style="1"/>
  </cols>
  <sheetData>
    <row r="1" spans="1:7" ht="15.75" x14ac:dyDescent="0.2">
      <c r="A1" s="117" t="s">
        <v>204</v>
      </c>
      <c r="B1" s="117"/>
      <c r="C1" s="117"/>
      <c r="D1" s="117"/>
      <c r="E1" s="117"/>
      <c r="F1" s="117"/>
      <c r="G1" s="117"/>
    </row>
    <row r="2" spans="1:7" ht="18.75" x14ac:dyDescent="0.2">
      <c r="A2" s="42"/>
      <c r="B2" s="40"/>
      <c r="C2" s="42"/>
      <c r="D2" s="42"/>
      <c r="E2" s="56"/>
    </row>
    <row r="3" spans="1:7" ht="18.75" x14ac:dyDescent="0.2">
      <c r="A3" s="42"/>
      <c r="B3" s="103" t="s">
        <v>237</v>
      </c>
      <c r="C3" s="55" t="s">
        <v>238</v>
      </c>
      <c r="D3" s="107"/>
      <c r="E3" s="108"/>
      <c r="F3" s="109"/>
      <c r="G3" s="68"/>
    </row>
    <row r="4" spans="1:7" ht="6.75" customHeight="1" x14ac:dyDescent="0.2">
      <c r="A4" s="42"/>
      <c r="B4" s="110"/>
      <c r="C4" s="110"/>
      <c r="D4" s="110"/>
      <c r="E4" s="108"/>
      <c r="F4" s="108"/>
    </row>
    <row r="5" spans="1:7" ht="26.25" customHeight="1" x14ac:dyDescent="0.2">
      <c r="A5" s="42"/>
      <c r="B5" s="103" t="s">
        <v>250</v>
      </c>
      <c r="C5" s="104"/>
      <c r="D5" s="105"/>
      <c r="E5" s="106"/>
      <c r="F5" s="106"/>
    </row>
    <row r="6" spans="1:7" ht="48" customHeight="1" x14ac:dyDescent="0.2">
      <c r="A6" s="42"/>
      <c r="B6" s="103" t="s">
        <v>249</v>
      </c>
      <c r="C6" s="104"/>
      <c r="D6" s="105"/>
      <c r="E6" s="106"/>
      <c r="F6" s="106"/>
    </row>
    <row r="7" spans="1:7" ht="81.75" customHeight="1" x14ac:dyDescent="0.2">
      <c r="A7" s="42"/>
      <c r="B7" s="121" t="s">
        <v>211</v>
      </c>
      <c r="C7" s="121"/>
      <c r="D7" s="121"/>
      <c r="E7" s="121"/>
      <c r="F7" s="121"/>
      <c r="G7" s="121"/>
    </row>
    <row r="8" spans="1:7" ht="20.25" customHeight="1" x14ac:dyDescent="0.2">
      <c r="A8" s="42"/>
      <c r="B8" s="121" t="s">
        <v>205</v>
      </c>
      <c r="C8" s="121"/>
      <c r="D8" s="105"/>
      <c r="E8" s="106"/>
      <c r="F8" s="106"/>
    </row>
    <row r="9" spans="1:7" ht="18.75" customHeight="1" x14ac:dyDescent="0.2">
      <c r="A9" s="42"/>
      <c r="B9" s="121" t="s">
        <v>206</v>
      </c>
      <c r="C9" s="121"/>
      <c r="D9" s="105"/>
      <c r="E9" s="106"/>
      <c r="F9" s="106"/>
    </row>
    <row r="10" spans="1:7" ht="27" customHeight="1" x14ac:dyDescent="0.2">
      <c r="A10" s="42"/>
      <c r="B10" s="121" t="s">
        <v>207</v>
      </c>
      <c r="C10" s="121"/>
      <c r="D10" s="121"/>
      <c r="E10" s="121"/>
      <c r="F10" s="121"/>
    </row>
    <row r="11" spans="1:7" ht="18" customHeight="1" x14ac:dyDescent="0.2">
      <c r="A11" s="42"/>
      <c r="B11" s="121" t="s">
        <v>208</v>
      </c>
      <c r="C11" s="121"/>
      <c r="D11" s="105"/>
      <c r="E11" s="106"/>
      <c r="F11" s="106"/>
    </row>
    <row r="12" spans="1:7" ht="27" customHeight="1" x14ac:dyDescent="0.2">
      <c r="A12" s="42"/>
      <c r="B12" s="136" t="s">
        <v>248</v>
      </c>
      <c r="C12" s="136"/>
      <c r="D12" s="136"/>
      <c r="E12" s="136"/>
      <c r="F12" s="136"/>
    </row>
    <row r="13" spans="1:7" ht="21.75" customHeight="1" x14ac:dyDescent="0.2">
      <c r="A13" s="42"/>
      <c r="B13" s="121" t="s">
        <v>209</v>
      </c>
      <c r="C13" s="121"/>
      <c r="D13" s="105"/>
      <c r="E13" s="106"/>
      <c r="F13" s="106"/>
    </row>
    <row r="14" spans="1:7" ht="18.75" x14ac:dyDescent="0.2">
      <c r="A14" s="42"/>
      <c r="B14" s="93"/>
      <c r="C14" s="43"/>
      <c r="D14" s="44"/>
      <c r="E14" s="57"/>
      <c r="F14" s="57"/>
    </row>
    <row r="15" spans="1:7" ht="20.25" customHeight="1" x14ac:dyDescent="0.2">
      <c r="A15" s="42"/>
      <c r="B15" s="152" t="s">
        <v>210</v>
      </c>
      <c r="C15" s="152"/>
      <c r="D15" s="152"/>
      <c r="E15" s="152"/>
      <c r="F15" s="152"/>
      <c r="G15" s="152"/>
    </row>
    <row r="16" spans="1:7" ht="8.25" customHeight="1" thickBot="1" x14ac:dyDescent="0.25">
      <c r="A16" s="155"/>
      <c r="B16" s="155"/>
      <c r="C16" s="155"/>
      <c r="D16" s="155"/>
      <c r="E16" s="155"/>
    </row>
    <row r="17" spans="1:7" ht="12.75" customHeight="1" thickTop="1" x14ac:dyDescent="0.2">
      <c r="A17" s="122" t="s">
        <v>5</v>
      </c>
      <c r="B17" s="124" t="s">
        <v>241</v>
      </c>
      <c r="C17" s="132" t="s">
        <v>202</v>
      </c>
      <c r="D17" s="126" t="s">
        <v>151</v>
      </c>
      <c r="E17" s="129" t="s">
        <v>203</v>
      </c>
      <c r="F17" s="134" t="s">
        <v>148</v>
      </c>
      <c r="G17" s="153" t="s">
        <v>149</v>
      </c>
    </row>
    <row r="18" spans="1:7" ht="12.75" customHeight="1" x14ac:dyDescent="0.2">
      <c r="A18" s="123"/>
      <c r="B18" s="125"/>
      <c r="C18" s="133"/>
      <c r="D18" s="127"/>
      <c r="E18" s="130"/>
      <c r="F18" s="135"/>
      <c r="G18" s="154"/>
    </row>
    <row r="19" spans="1:7" s="2" customFormat="1" ht="7.5" customHeight="1" x14ac:dyDescent="0.2">
      <c r="A19" s="123"/>
      <c r="B19" s="125"/>
      <c r="C19" s="133"/>
      <c r="D19" s="128"/>
      <c r="E19" s="131"/>
      <c r="F19" s="135"/>
      <c r="G19" s="154"/>
    </row>
    <row r="20" spans="1:7" s="3" customFormat="1" ht="12.75" x14ac:dyDescent="0.2">
      <c r="A20" s="17">
        <v>1</v>
      </c>
      <c r="B20" s="94">
        <v>2</v>
      </c>
      <c r="C20" s="16">
        <v>3</v>
      </c>
      <c r="D20" s="16">
        <v>4</v>
      </c>
      <c r="E20" s="41">
        <v>5</v>
      </c>
      <c r="F20" s="41">
        <v>6</v>
      </c>
      <c r="G20" s="102">
        <v>7</v>
      </c>
    </row>
    <row r="21" spans="1:7" s="3" customFormat="1" ht="19.5" customHeight="1" x14ac:dyDescent="0.2">
      <c r="A21" s="118" t="s">
        <v>239</v>
      </c>
      <c r="B21" s="119"/>
      <c r="C21" s="119"/>
      <c r="D21" s="119"/>
      <c r="E21" s="120"/>
      <c r="F21" s="58"/>
      <c r="G21" s="47"/>
    </row>
    <row r="22" spans="1:7" ht="15" x14ac:dyDescent="0.2">
      <c r="A22" s="18">
        <v>1</v>
      </c>
      <c r="B22" s="95" t="s">
        <v>6</v>
      </c>
      <c r="C22" s="20" t="s">
        <v>7</v>
      </c>
      <c r="D22" s="19"/>
      <c r="E22" s="59"/>
      <c r="F22" s="59"/>
      <c r="G22" s="111">
        <f>SUM(G25,G23,G30,G44,G48)</f>
        <v>0</v>
      </c>
    </row>
    <row r="23" spans="1:7" s="4" customFormat="1" ht="15" x14ac:dyDescent="0.2">
      <c r="A23" s="21" t="s">
        <v>17</v>
      </c>
      <c r="B23" s="96" t="s">
        <v>73</v>
      </c>
      <c r="C23" s="23" t="s">
        <v>102</v>
      </c>
      <c r="D23" s="22"/>
      <c r="E23" s="27"/>
      <c r="F23" s="69"/>
      <c r="G23" s="48">
        <f>G24</f>
        <v>0</v>
      </c>
    </row>
    <row r="24" spans="1:7" ht="30" x14ac:dyDescent="0.2">
      <c r="A24" s="24"/>
      <c r="B24" s="94" t="s">
        <v>80</v>
      </c>
      <c r="C24" s="25" t="s">
        <v>112</v>
      </c>
      <c r="D24" s="6" t="s">
        <v>8</v>
      </c>
      <c r="E24" s="26">
        <f>447/10000</f>
        <v>0.04</v>
      </c>
      <c r="F24" s="52"/>
      <c r="G24" s="49">
        <f>E24*F24</f>
        <v>0</v>
      </c>
    </row>
    <row r="25" spans="1:7" s="4" customFormat="1" ht="15" x14ac:dyDescent="0.2">
      <c r="A25" s="21" t="s">
        <v>19</v>
      </c>
      <c r="B25" s="96" t="s">
        <v>74</v>
      </c>
      <c r="C25" s="23" t="s">
        <v>101</v>
      </c>
      <c r="D25" s="22"/>
      <c r="E25" s="27"/>
      <c r="F25" s="27"/>
      <c r="G25" s="48">
        <f>SUM(G26,G29)</f>
        <v>0</v>
      </c>
    </row>
    <row r="26" spans="1:7" ht="60" x14ac:dyDescent="0.2">
      <c r="A26" s="5" t="s">
        <v>9</v>
      </c>
      <c r="B26" s="94" t="s">
        <v>81</v>
      </c>
      <c r="C26" s="13" t="s">
        <v>84</v>
      </c>
      <c r="D26" s="6" t="s">
        <v>26</v>
      </c>
      <c r="E26" s="26">
        <f>E27+E28</f>
        <v>24</v>
      </c>
      <c r="F26" s="52"/>
      <c r="G26" s="49">
        <f>SUM(G27:G28)</f>
        <v>0</v>
      </c>
    </row>
    <row r="27" spans="1:7" ht="45" x14ac:dyDescent="0.2">
      <c r="A27" s="28" t="s">
        <v>115</v>
      </c>
      <c r="B27" s="12"/>
      <c r="C27" s="13" t="s">
        <v>269</v>
      </c>
      <c r="D27" s="6" t="s">
        <v>26</v>
      </c>
      <c r="E27" s="26">
        <f>16+3</f>
        <v>19</v>
      </c>
      <c r="F27" s="52"/>
      <c r="G27" s="49">
        <f>E27*F27</f>
        <v>0</v>
      </c>
    </row>
    <row r="28" spans="1:7" ht="45" x14ac:dyDescent="0.2">
      <c r="A28" s="15" t="s">
        <v>116</v>
      </c>
      <c r="B28" s="94"/>
      <c r="C28" s="13" t="s">
        <v>117</v>
      </c>
      <c r="D28" s="6" t="s">
        <v>26</v>
      </c>
      <c r="E28" s="26">
        <f>2+3</f>
        <v>5</v>
      </c>
      <c r="F28" s="52"/>
      <c r="G28" s="49">
        <f>E28*F28</f>
        <v>0</v>
      </c>
    </row>
    <row r="29" spans="1:7" ht="60" x14ac:dyDescent="0.2">
      <c r="A29" s="5" t="s">
        <v>10</v>
      </c>
      <c r="B29" s="94" t="s">
        <v>81</v>
      </c>
      <c r="C29" s="13" t="s">
        <v>118</v>
      </c>
      <c r="D29" s="6" t="s">
        <v>11</v>
      </c>
      <c r="E29" s="26">
        <f>0.02+0.1</f>
        <v>0.12</v>
      </c>
      <c r="F29" s="52"/>
      <c r="G29" s="49">
        <f>E29*F29</f>
        <v>0</v>
      </c>
    </row>
    <row r="30" spans="1:7" s="4" customFormat="1" ht="15" x14ac:dyDescent="0.2">
      <c r="A30" s="21" t="s">
        <v>20</v>
      </c>
      <c r="B30" s="97" t="s">
        <v>75</v>
      </c>
      <c r="C30" s="29" t="s">
        <v>103</v>
      </c>
      <c r="D30" s="22"/>
      <c r="E30" s="27"/>
      <c r="F30" s="69"/>
      <c r="G30" s="48">
        <f>SUM(G31:G34,G35:G36,G40,G41,G42,G43)</f>
        <v>0</v>
      </c>
    </row>
    <row r="31" spans="1:7" ht="45" x14ac:dyDescent="0.2">
      <c r="A31" s="5" t="s">
        <v>12</v>
      </c>
      <c r="B31" s="94"/>
      <c r="C31" s="13" t="s">
        <v>188</v>
      </c>
      <c r="D31" s="6" t="s">
        <v>113</v>
      </c>
      <c r="E31" s="26">
        <f>(447)*6.1</f>
        <v>2726.7</v>
      </c>
      <c r="F31" s="52"/>
      <c r="G31" s="49">
        <f>E31*F31</f>
        <v>0</v>
      </c>
    </row>
    <row r="32" spans="1:7" ht="45" x14ac:dyDescent="0.2">
      <c r="A32" s="5" t="s">
        <v>13</v>
      </c>
      <c r="B32" s="98"/>
      <c r="C32" s="14" t="s">
        <v>182</v>
      </c>
      <c r="D32" s="6" t="s">
        <v>113</v>
      </c>
      <c r="E32" s="26">
        <f>447*6.1</f>
        <v>2726.7</v>
      </c>
      <c r="F32" s="52"/>
      <c r="G32" s="49">
        <f>E32*F32</f>
        <v>0</v>
      </c>
    </row>
    <row r="33" spans="1:7" ht="45" x14ac:dyDescent="0.2">
      <c r="A33" s="5" t="s">
        <v>14</v>
      </c>
      <c r="B33" s="98"/>
      <c r="C33" s="14" t="s">
        <v>184</v>
      </c>
      <c r="D33" s="6" t="s">
        <v>113</v>
      </c>
      <c r="E33" s="26">
        <f>447*6.1</f>
        <v>2726.7</v>
      </c>
      <c r="F33" s="52"/>
      <c r="G33" s="49">
        <f>E33*F33</f>
        <v>0</v>
      </c>
    </row>
    <row r="34" spans="1:7" ht="60" x14ac:dyDescent="0.2">
      <c r="A34" s="5" t="s">
        <v>15</v>
      </c>
      <c r="B34" s="98"/>
      <c r="C34" s="14" t="s">
        <v>186</v>
      </c>
      <c r="D34" s="6" t="s">
        <v>113</v>
      </c>
      <c r="E34" s="26">
        <f>447*6.1</f>
        <v>2726.7</v>
      </c>
      <c r="F34" s="52"/>
      <c r="G34" s="49">
        <f>E34*F34</f>
        <v>0</v>
      </c>
    </row>
    <row r="35" spans="1:7" ht="45" x14ac:dyDescent="0.2">
      <c r="A35" s="5" t="s">
        <v>16</v>
      </c>
      <c r="B35" s="98"/>
      <c r="C35" s="14" t="s">
        <v>181</v>
      </c>
      <c r="D35" s="6" t="s">
        <v>114</v>
      </c>
      <c r="E35" s="26">
        <f>(447*6.1)*0.1</f>
        <v>272.67</v>
      </c>
      <c r="F35" s="52"/>
      <c r="G35" s="49">
        <f>E35*F35</f>
        <v>0</v>
      </c>
    </row>
    <row r="36" spans="1:7" ht="36.75" customHeight="1" x14ac:dyDescent="0.2">
      <c r="A36" s="5" t="s">
        <v>85</v>
      </c>
      <c r="B36" s="98"/>
      <c r="C36" s="14" t="s">
        <v>86</v>
      </c>
      <c r="D36" s="6" t="s">
        <v>114</v>
      </c>
      <c r="E36" s="26">
        <f>SUM(E37:E39)</f>
        <v>2471.11</v>
      </c>
      <c r="F36" s="52"/>
      <c r="G36" s="49">
        <f>SUM(G37:G39)</f>
        <v>0</v>
      </c>
    </row>
    <row r="37" spans="1:7" ht="15" x14ac:dyDescent="0.2">
      <c r="A37" s="15" t="s">
        <v>115</v>
      </c>
      <c r="B37" s="98"/>
      <c r="C37" s="30" t="s">
        <v>183</v>
      </c>
      <c r="D37" s="6" t="s">
        <v>22</v>
      </c>
      <c r="E37" s="26">
        <f>447*6.1*0.2</f>
        <v>545.34</v>
      </c>
      <c r="F37" s="52"/>
      <c r="G37" s="49">
        <f t="shared" ref="G37:G47" si="0">E37*F37</f>
        <v>0</v>
      </c>
    </row>
    <row r="38" spans="1:7" ht="17.25" x14ac:dyDescent="0.2">
      <c r="A38" s="15" t="s">
        <v>116</v>
      </c>
      <c r="B38" s="98"/>
      <c r="C38" s="25" t="s">
        <v>185</v>
      </c>
      <c r="D38" s="6" t="s">
        <v>114</v>
      </c>
      <c r="E38" s="26">
        <f>447*6.1*0.3</f>
        <v>818.01</v>
      </c>
      <c r="F38" s="52"/>
      <c r="G38" s="49">
        <f>E38*F38</f>
        <v>0</v>
      </c>
    </row>
    <row r="39" spans="1:7" ht="15" x14ac:dyDescent="0.2">
      <c r="A39" s="15" t="s">
        <v>150</v>
      </c>
      <c r="B39" s="98"/>
      <c r="C39" s="30" t="s">
        <v>187</v>
      </c>
      <c r="D39" s="6" t="s">
        <v>22</v>
      </c>
      <c r="E39" s="26">
        <f>454*6.1*0.4</f>
        <v>1107.76</v>
      </c>
      <c r="F39" s="52"/>
      <c r="G39" s="49">
        <f>E39*F39</f>
        <v>0</v>
      </c>
    </row>
    <row r="40" spans="1:7" ht="60" x14ac:dyDescent="0.2">
      <c r="A40" s="5" t="s">
        <v>87</v>
      </c>
      <c r="B40" s="98"/>
      <c r="C40" s="14" t="s">
        <v>119</v>
      </c>
      <c r="D40" s="6" t="s">
        <v>114</v>
      </c>
      <c r="E40" s="26">
        <f>E36</f>
        <v>2471.11</v>
      </c>
      <c r="F40" s="52"/>
      <c r="G40" s="49">
        <f t="shared" si="0"/>
        <v>0</v>
      </c>
    </row>
    <row r="41" spans="1:7" ht="66.75" customHeight="1" x14ac:dyDescent="0.2">
      <c r="A41" s="28" t="s">
        <v>88</v>
      </c>
      <c r="B41" s="94"/>
      <c r="C41" s="13" t="s">
        <v>120</v>
      </c>
      <c r="D41" s="6" t="s">
        <v>18</v>
      </c>
      <c r="E41" s="26">
        <f>107.4+56.1+55.6+21</f>
        <v>240.1</v>
      </c>
      <c r="F41" s="52"/>
      <c r="G41" s="49">
        <f t="shared" si="0"/>
        <v>0</v>
      </c>
    </row>
    <row r="42" spans="1:7" ht="30" x14ac:dyDescent="0.2">
      <c r="A42" s="5" t="s">
        <v>89</v>
      </c>
      <c r="B42" s="94"/>
      <c r="C42" s="13" t="s">
        <v>82</v>
      </c>
      <c r="D42" s="6" t="s">
        <v>26</v>
      </c>
      <c r="E42" s="26">
        <v>2</v>
      </c>
      <c r="F42" s="52"/>
      <c r="G42" s="49">
        <f t="shared" si="0"/>
        <v>0</v>
      </c>
    </row>
    <row r="43" spans="1:7" ht="30" x14ac:dyDescent="0.2">
      <c r="A43" s="28" t="s">
        <v>90</v>
      </c>
      <c r="B43" s="94"/>
      <c r="C43" s="13" t="s">
        <v>83</v>
      </c>
      <c r="D43" s="6" t="s">
        <v>26</v>
      </c>
      <c r="E43" s="26">
        <v>2</v>
      </c>
      <c r="F43" s="52"/>
      <c r="G43" s="49">
        <f t="shared" si="0"/>
        <v>0</v>
      </c>
    </row>
    <row r="44" spans="1:7" s="4" customFormat="1" ht="15" x14ac:dyDescent="0.2">
      <c r="A44" s="21" t="s">
        <v>25</v>
      </c>
      <c r="B44" s="97" t="s">
        <v>76</v>
      </c>
      <c r="C44" s="29" t="s">
        <v>104</v>
      </c>
      <c r="D44" s="22"/>
      <c r="E44" s="27"/>
      <c r="F44" s="69"/>
      <c r="G44" s="48">
        <f>SUM(G45,G46,G47)</f>
        <v>0</v>
      </c>
    </row>
    <row r="45" spans="1:7" ht="30" x14ac:dyDescent="0.2">
      <c r="A45" s="5" t="s">
        <v>96</v>
      </c>
      <c r="B45" s="94"/>
      <c r="C45" s="7" t="s">
        <v>93</v>
      </c>
      <c r="D45" s="6" t="s">
        <v>26</v>
      </c>
      <c r="E45" s="26">
        <v>5</v>
      </c>
      <c r="F45" s="52"/>
      <c r="G45" s="49">
        <f t="shared" si="0"/>
        <v>0</v>
      </c>
    </row>
    <row r="46" spans="1:7" ht="15" x14ac:dyDescent="0.2">
      <c r="A46" s="5" t="s">
        <v>97</v>
      </c>
      <c r="B46" s="94"/>
      <c r="C46" s="7" t="s">
        <v>95</v>
      </c>
      <c r="D46" s="6" t="s">
        <v>26</v>
      </c>
      <c r="E46" s="26">
        <v>8</v>
      </c>
      <c r="F46" s="52"/>
      <c r="G46" s="49">
        <f t="shared" si="0"/>
        <v>0</v>
      </c>
    </row>
    <row r="47" spans="1:7" ht="15" x14ac:dyDescent="0.2">
      <c r="A47" s="5" t="s">
        <v>98</v>
      </c>
      <c r="B47" s="94"/>
      <c r="C47" s="7" t="s">
        <v>94</v>
      </c>
      <c r="D47" s="6" t="s">
        <v>26</v>
      </c>
      <c r="E47" s="26">
        <v>3</v>
      </c>
      <c r="F47" s="52"/>
      <c r="G47" s="49">
        <f t="shared" si="0"/>
        <v>0</v>
      </c>
    </row>
    <row r="48" spans="1:7" ht="21" customHeight="1" x14ac:dyDescent="0.2">
      <c r="A48" s="21" t="s">
        <v>244</v>
      </c>
      <c r="B48" s="97" t="s">
        <v>247</v>
      </c>
      <c r="C48" s="29" t="s">
        <v>243</v>
      </c>
      <c r="D48" s="22"/>
      <c r="E48" s="27"/>
      <c r="F48" s="69"/>
      <c r="G48" s="48">
        <f>SUM(G49)</f>
        <v>0</v>
      </c>
    </row>
    <row r="49" spans="1:7" ht="30" x14ac:dyDescent="0.2">
      <c r="A49" s="28" t="s">
        <v>245</v>
      </c>
      <c r="B49" s="94"/>
      <c r="C49" s="7" t="s">
        <v>246</v>
      </c>
      <c r="D49" s="6" t="s">
        <v>18</v>
      </c>
      <c r="E49" s="26">
        <v>20</v>
      </c>
      <c r="F49" s="52"/>
      <c r="G49" s="49">
        <f>E49*F49</f>
        <v>0</v>
      </c>
    </row>
    <row r="50" spans="1:7" ht="15" x14ac:dyDescent="0.2">
      <c r="A50" s="18">
        <v>2</v>
      </c>
      <c r="B50" s="95" t="s">
        <v>54</v>
      </c>
      <c r="C50" s="20" t="s">
        <v>55</v>
      </c>
      <c r="D50" s="19"/>
      <c r="E50" s="59"/>
      <c r="F50" s="59"/>
      <c r="G50" s="111">
        <f>SUM(G51,G54)</f>
        <v>0</v>
      </c>
    </row>
    <row r="51" spans="1:7" s="4" customFormat="1" ht="15" x14ac:dyDescent="0.2">
      <c r="A51" s="21" t="s">
        <v>21</v>
      </c>
      <c r="B51" s="97" t="s">
        <v>76</v>
      </c>
      <c r="C51" s="29" t="s">
        <v>28</v>
      </c>
      <c r="D51" s="22"/>
      <c r="E51" s="27"/>
      <c r="F51" s="69"/>
      <c r="G51" s="48">
        <f>SUM(G52,G53)</f>
        <v>0</v>
      </c>
    </row>
    <row r="52" spans="1:7" ht="45" x14ac:dyDescent="0.2">
      <c r="A52" s="15" t="s">
        <v>56</v>
      </c>
      <c r="B52" s="94"/>
      <c r="C52" s="13" t="s">
        <v>270</v>
      </c>
      <c r="D52" s="6" t="s">
        <v>114</v>
      </c>
      <c r="E52" s="26">
        <f>1.6*512*0.3</f>
        <v>245.76</v>
      </c>
      <c r="F52" s="52"/>
      <c r="G52" s="49">
        <f>E52*F52</f>
        <v>0</v>
      </c>
    </row>
    <row r="53" spans="1:7" ht="45" x14ac:dyDescent="0.2">
      <c r="A53" s="15" t="s">
        <v>121</v>
      </c>
      <c r="B53" s="98"/>
      <c r="C53" s="14" t="s">
        <v>100</v>
      </c>
      <c r="D53" s="6" t="s">
        <v>114</v>
      </c>
      <c r="E53" s="26">
        <f>E52</f>
        <v>245.76</v>
      </c>
      <c r="F53" s="52"/>
      <c r="G53" s="49">
        <f>E53*F53</f>
        <v>0</v>
      </c>
    </row>
    <row r="54" spans="1:7" s="4" customFormat="1" ht="15" x14ac:dyDescent="0.2">
      <c r="A54" s="21" t="s">
        <v>23</v>
      </c>
      <c r="B54" s="97" t="s">
        <v>34</v>
      </c>
      <c r="C54" s="29" t="s">
        <v>29</v>
      </c>
      <c r="D54" s="22"/>
      <c r="E54" s="27"/>
      <c r="F54" s="69"/>
      <c r="G54" s="48">
        <f>SUM(G55,G56)</f>
        <v>0</v>
      </c>
    </row>
    <row r="55" spans="1:7" ht="105" x14ac:dyDescent="0.2">
      <c r="A55" s="15" t="s">
        <v>62</v>
      </c>
      <c r="B55" s="94"/>
      <c r="C55" s="13" t="s">
        <v>122</v>
      </c>
      <c r="D55" s="6" t="s">
        <v>114</v>
      </c>
      <c r="E55" s="26">
        <f>6.1*447*0.47</f>
        <v>1281.55</v>
      </c>
      <c r="F55" s="52"/>
      <c r="G55" s="49">
        <f>E55*F55</f>
        <v>0</v>
      </c>
    </row>
    <row r="56" spans="1:7" ht="60" x14ac:dyDescent="0.2">
      <c r="A56" s="15" t="s">
        <v>63</v>
      </c>
      <c r="B56" s="94"/>
      <c r="C56" s="14" t="s">
        <v>123</v>
      </c>
      <c r="D56" s="6" t="s">
        <v>114</v>
      </c>
      <c r="E56" s="26">
        <f>E55</f>
        <v>1281.55</v>
      </c>
      <c r="F56" s="52"/>
      <c r="G56" s="49">
        <f>E56*F56</f>
        <v>0</v>
      </c>
    </row>
    <row r="57" spans="1:7" ht="15" x14ac:dyDescent="0.2">
      <c r="A57" s="18">
        <v>3</v>
      </c>
      <c r="B57" s="95" t="s">
        <v>64</v>
      </c>
      <c r="C57" s="20" t="s">
        <v>65</v>
      </c>
      <c r="D57" s="19"/>
      <c r="E57" s="59"/>
      <c r="F57" s="53"/>
      <c r="G57" s="50">
        <f>SUM(G58,G61,G68,G74,G76,G80)</f>
        <v>0</v>
      </c>
    </row>
    <row r="58" spans="1:7" s="4" customFormat="1" ht="30" x14ac:dyDescent="0.2">
      <c r="A58" s="31" t="s">
        <v>91</v>
      </c>
      <c r="B58" s="97" t="s">
        <v>27</v>
      </c>
      <c r="C58" s="29" t="s">
        <v>67</v>
      </c>
      <c r="D58" s="22"/>
      <c r="E58" s="27"/>
      <c r="F58" s="69"/>
      <c r="G58" s="48">
        <f>SUM(G59,G60)</f>
        <v>0</v>
      </c>
    </row>
    <row r="59" spans="1:7" ht="75" x14ac:dyDescent="0.2">
      <c r="A59" s="15" t="s">
        <v>92</v>
      </c>
      <c r="B59" s="99" t="s">
        <v>36</v>
      </c>
      <c r="C59" s="13" t="s">
        <v>271</v>
      </c>
      <c r="D59" s="6" t="s">
        <v>113</v>
      </c>
      <c r="E59" s="26">
        <f>447*6.5+148.9+512*1.66-54.5*1.66</f>
        <v>3813.85</v>
      </c>
      <c r="F59" s="52"/>
      <c r="G59" s="49">
        <f>E59*F59</f>
        <v>0</v>
      </c>
    </row>
    <row r="60" spans="1:7" ht="90" x14ac:dyDescent="0.2">
      <c r="A60" s="15" t="s">
        <v>124</v>
      </c>
      <c r="B60" s="99" t="s">
        <v>36</v>
      </c>
      <c r="C60" s="13" t="s">
        <v>272</v>
      </c>
      <c r="D60" s="6" t="s">
        <v>113</v>
      </c>
      <c r="E60" s="26">
        <f>145.92+68*0.3+100.74+120.2*0.3</f>
        <v>303.12</v>
      </c>
      <c r="F60" s="52"/>
      <c r="G60" s="49">
        <f>E60*F60</f>
        <v>0</v>
      </c>
    </row>
    <row r="61" spans="1:7" ht="15" x14ac:dyDescent="0.2">
      <c r="A61" s="31" t="s">
        <v>125</v>
      </c>
      <c r="B61" s="96" t="s">
        <v>105</v>
      </c>
      <c r="C61" s="29" t="s">
        <v>35</v>
      </c>
      <c r="D61" s="22"/>
      <c r="E61" s="60"/>
      <c r="F61" s="54"/>
      <c r="G61" s="51">
        <f>SUM(G62:G63,G64,G67)</f>
        <v>0</v>
      </c>
    </row>
    <row r="62" spans="1:7" ht="60" x14ac:dyDescent="0.2">
      <c r="A62" s="15" t="s">
        <v>126</v>
      </c>
      <c r="B62" s="99" t="s">
        <v>36</v>
      </c>
      <c r="C62" s="32" t="s">
        <v>273</v>
      </c>
      <c r="D62" s="6" t="s">
        <v>113</v>
      </c>
      <c r="E62" s="26">
        <f>512*1.5-54.5*1.5</f>
        <v>686.25</v>
      </c>
      <c r="F62" s="52"/>
      <c r="G62" s="49">
        <f>E62*F62</f>
        <v>0</v>
      </c>
    </row>
    <row r="63" spans="1:7" ht="90" x14ac:dyDescent="0.2">
      <c r="A63" s="15" t="s">
        <v>127</v>
      </c>
      <c r="B63" s="99" t="s">
        <v>36</v>
      </c>
      <c r="C63" s="32" t="s">
        <v>286</v>
      </c>
      <c r="D63" s="6" t="s">
        <v>113</v>
      </c>
      <c r="E63" s="26">
        <f>68*0.3+120.2*0.3+8.5*0.3+266.38+119.26</f>
        <v>444.65</v>
      </c>
      <c r="F63" s="52"/>
      <c r="G63" s="49">
        <f>E63*F63</f>
        <v>0</v>
      </c>
    </row>
    <row r="64" spans="1:7" ht="36" x14ac:dyDescent="0.2">
      <c r="A64" s="15" t="s">
        <v>128</v>
      </c>
      <c r="B64" s="99" t="s">
        <v>36</v>
      </c>
      <c r="C64" s="32" t="s">
        <v>37</v>
      </c>
      <c r="D64" s="6" t="s">
        <v>113</v>
      </c>
      <c r="E64" s="26">
        <f>SUM(E65:E66)</f>
        <v>2940.69</v>
      </c>
      <c r="F64" s="52"/>
      <c r="G64" s="49">
        <f>SUM(G65:G66)</f>
        <v>0</v>
      </c>
    </row>
    <row r="65" spans="1:7" ht="17.25" x14ac:dyDescent="0.2">
      <c r="A65" s="15" t="s">
        <v>115</v>
      </c>
      <c r="B65" s="12"/>
      <c r="C65" s="25" t="s">
        <v>189</v>
      </c>
      <c r="D65" s="6" t="s">
        <v>113</v>
      </c>
      <c r="E65" s="26">
        <f>447*6</f>
        <v>2682</v>
      </c>
      <c r="F65" s="52"/>
      <c r="G65" s="49">
        <f t="shared" ref="G65:G75" si="1">E65*F65</f>
        <v>0</v>
      </c>
    </row>
    <row r="66" spans="1:7" ht="45" x14ac:dyDescent="0.2">
      <c r="A66" s="15" t="s">
        <v>116</v>
      </c>
      <c r="B66" s="99"/>
      <c r="C66" s="25" t="s">
        <v>274</v>
      </c>
      <c r="D66" s="6" t="s">
        <v>113</v>
      </c>
      <c r="E66" s="26">
        <f>(477-54.5 + 477 -37.2)*0.3</f>
        <v>258.69</v>
      </c>
      <c r="F66" s="52"/>
      <c r="G66" s="49">
        <f t="shared" si="1"/>
        <v>0</v>
      </c>
    </row>
    <row r="67" spans="1:7" ht="75" x14ac:dyDescent="0.2">
      <c r="A67" s="15" t="s">
        <v>129</v>
      </c>
      <c r="B67" s="99" t="s">
        <v>36</v>
      </c>
      <c r="C67" s="32" t="s">
        <v>275</v>
      </c>
      <c r="D67" s="6" t="s">
        <v>113</v>
      </c>
      <c r="E67" s="26">
        <f>(54.5+37.2)*0.26</f>
        <v>23.84</v>
      </c>
      <c r="F67" s="52"/>
      <c r="G67" s="49">
        <f t="shared" si="1"/>
        <v>0</v>
      </c>
    </row>
    <row r="68" spans="1:7" ht="15" x14ac:dyDescent="0.2">
      <c r="A68" s="31" t="s">
        <v>130</v>
      </c>
      <c r="B68" s="97" t="s">
        <v>38</v>
      </c>
      <c r="C68" s="29" t="s">
        <v>40</v>
      </c>
      <c r="D68" s="22"/>
      <c r="E68" s="27"/>
      <c r="F68" s="54"/>
      <c r="G68" s="51">
        <f>SUM(G69,G70,G71,G72,G73)</f>
        <v>0</v>
      </c>
    </row>
    <row r="69" spans="1:7" ht="30" x14ac:dyDescent="0.2">
      <c r="A69" s="15" t="s">
        <v>131</v>
      </c>
      <c r="B69" s="94"/>
      <c r="C69" s="13" t="s">
        <v>190</v>
      </c>
      <c r="D69" s="6" t="s">
        <v>113</v>
      </c>
      <c r="E69" s="26">
        <f>447*6</f>
        <v>2682</v>
      </c>
      <c r="F69" s="52"/>
      <c r="G69" s="49">
        <f t="shared" si="1"/>
        <v>0</v>
      </c>
    </row>
    <row r="70" spans="1:7" ht="30" x14ac:dyDescent="0.2">
      <c r="A70" s="15" t="s">
        <v>132</v>
      </c>
      <c r="B70" s="94"/>
      <c r="C70" s="13" t="s">
        <v>191</v>
      </c>
      <c r="D70" s="6"/>
      <c r="E70" s="26">
        <f>(447)*2</f>
        <v>894</v>
      </c>
      <c r="F70" s="52"/>
      <c r="G70" s="49">
        <f t="shared" si="1"/>
        <v>0</v>
      </c>
    </row>
    <row r="71" spans="1:7" ht="51.75" customHeight="1" x14ac:dyDescent="0.2">
      <c r="A71" s="15" t="s">
        <v>133</v>
      </c>
      <c r="B71" s="94"/>
      <c r="C71" s="13" t="s">
        <v>192</v>
      </c>
      <c r="D71" s="6"/>
      <c r="E71" s="26">
        <f>447*6</f>
        <v>2682</v>
      </c>
      <c r="F71" s="52"/>
      <c r="G71" s="49">
        <f t="shared" si="1"/>
        <v>0</v>
      </c>
    </row>
    <row r="72" spans="1:7" ht="45" x14ac:dyDescent="0.2">
      <c r="A72" s="15" t="s">
        <v>134</v>
      </c>
      <c r="B72" s="94"/>
      <c r="C72" s="13" t="s">
        <v>193</v>
      </c>
      <c r="D72" s="6"/>
      <c r="E72" s="26">
        <f>447*6</f>
        <v>2682</v>
      </c>
      <c r="F72" s="52"/>
      <c r="G72" s="49">
        <f t="shared" si="1"/>
        <v>0</v>
      </c>
    </row>
    <row r="73" spans="1:7" ht="45" x14ac:dyDescent="0.2">
      <c r="A73" s="15" t="s">
        <v>135</v>
      </c>
      <c r="B73" s="94"/>
      <c r="C73" s="13" t="s">
        <v>194</v>
      </c>
      <c r="D73" s="6"/>
      <c r="E73" s="26">
        <f>447*6</f>
        <v>2682</v>
      </c>
      <c r="F73" s="52"/>
      <c r="G73" s="49">
        <f t="shared" si="1"/>
        <v>0</v>
      </c>
    </row>
    <row r="74" spans="1:7" s="4" customFormat="1" ht="15" x14ac:dyDescent="0.2">
      <c r="A74" s="31" t="s">
        <v>136</v>
      </c>
      <c r="B74" s="96" t="s">
        <v>107</v>
      </c>
      <c r="C74" s="23" t="s">
        <v>106</v>
      </c>
      <c r="D74" s="22"/>
      <c r="E74" s="27"/>
      <c r="F74" s="69"/>
      <c r="G74" s="48">
        <f>G75</f>
        <v>0</v>
      </c>
    </row>
    <row r="75" spans="1:7" ht="51.75" customHeight="1" x14ac:dyDescent="0.2">
      <c r="A75" s="15" t="s">
        <v>137</v>
      </c>
      <c r="B75" s="94"/>
      <c r="C75" s="13" t="s">
        <v>276</v>
      </c>
      <c r="D75" s="6" t="s">
        <v>113</v>
      </c>
      <c r="E75" s="26">
        <f>511.78*1.5-27.2*1.5</f>
        <v>726.87</v>
      </c>
      <c r="F75" s="52"/>
      <c r="G75" s="49">
        <f t="shared" si="1"/>
        <v>0</v>
      </c>
    </row>
    <row r="76" spans="1:7" s="4" customFormat="1" ht="30" x14ac:dyDescent="0.2">
      <c r="A76" s="31" t="s">
        <v>138</v>
      </c>
      <c r="B76" s="96" t="s">
        <v>39</v>
      </c>
      <c r="C76" s="23" t="s">
        <v>45</v>
      </c>
      <c r="D76" s="22"/>
      <c r="E76" s="27"/>
      <c r="F76" s="69"/>
      <c r="G76" s="48">
        <f>SUM(G77)</f>
        <v>0</v>
      </c>
    </row>
    <row r="77" spans="1:7" ht="45" x14ac:dyDescent="0.2">
      <c r="A77" s="15" t="s">
        <v>139</v>
      </c>
      <c r="B77" s="94"/>
      <c r="C77" s="13" t="s">
        <v>46</v>
      </c>
      <c r="D77" s="6" t="s">
        <v>113</v>
      </c>
      <c r="E77" s="26">
        <f>SUM(E78:E79)</f>
        <v>2998.99</v>
      </c>
      <c r="F77" s="52"/>
      <c r="G77" s="49">
        <f>SUM(G78:G79)</f>
        <v>0</v>
      </c>
    </row>
    <row r="78" spans="1:7" ht="17.25" x14ac:dyDescent="0.2">
      <c r="A78" s="15" t="s">
        <v>115</v>
      </c>
      <c r="B78" s="94"/>
      <c r="C78" s="25" t="s">
        <v>195</v>
      </c>
      <c r="D78" s="6" t="s">
        <v>113</v>
      </c>
      <c r="E78" s="26">
        <f>447*6</f>
        <v>2682</v>
      </c>
      <c r="F78" s="52"/>
      <c r="G78" s="49">
        <f>E78*F78</f>
        <v>0</v>
      </c>
    </row>
    <row r="79" spans="1:7" ht="45" x14ac:dyDescent="0.2">
      <c r="A79" s="15" t="s">
        <v>116</v>
      </c>
      <c r="B79" s="94"/>
      <c r="C79" s="33" t="s">
        <v>277</v>
      </c>
      <c r="D79" s="6" t="s">
        <v>113</v>
      </c>
      <c r="E79" s="26">
        <f>(193.32+100.74)+ (54.5+37.2)*0.25</f>
        <v>316.99</v>
      </c>
      <c r="F79" s="52"/>
      <c r="G79" s="49">
        <f>E79*F79</f>
        <v>0</v>
      </c>
    </row>
    <row r="80" spans="1:7" s="4" customFormat="1" ht="15" x14ac:dyDescent="0.2">
      <c r="A80" s="31" t="s">
        <v>140</v>
      </c>
      <c r="B80" s="97" t="s">
        <v>42</v>
      </c>
      <c r="C80" s="23" t="s">
        <v>41</v>
      </c>
      <c r="D80" s="22"/>
      <c r="E80" s="27"/>
      <c r="F80" s="69"/>
      <c r="G80" s="48">
        <f>SUM(G81)</f>
        <v>0</v>
      </c>
    </row>
    <row r="81" spans="1:11" ht="51" customHeight="1" x14ac:dyDescent="0.2">
      <c r="A81" s="15" t="s">
        <v>141</v>
      </c>
      <c r="B81" s="94"/>
      <c r="C81" s="13" t="s">
        <v>196</v>
      </c>
      <c r="D81" s="6" t="s">
        <v>113</v>
      </c>
      <c r="E81" s="26">
        <f>447*6</f>
        <v>2682</v>
      </c>
      <c r="F81" s="52"/>
      <c r="G81" s="49">
        <f>E81*F81</f>
        <v>0</v>
      </c>
    </row>
    <row r="82" spans="1:11" ht="15" x14ac:dyDescent="0.2">
      <c r="A82" s="18">
        <v>4</v>
      </c>
      <c r="B82" s="95" t="s">
        <v>43</v>
      </c>
      <c r="C82" s="20" t="s">
        <v>0</v>
      </c>
      <c r="D82" s="19"/>
      <c r="E82" s="59"/>
      <c r="F82" s="53"/>
      <c r="G82" s="50">
        <f>SUM(G83,G85,G87,G89)</f>
        <v>0</v>
      </c>
    </row>
    <row r="83" spans="1:11" ht="30" x14ac:dyDescent="0.2">
      <c r="A83" s="31" t="s">
        <v>24</v>
      </c>
      <c r="B83" s="97" t="s">
        <v>44</v>
      </c>
      <c r="C83" s="29" t="s">
        <v>59</v>
      </c>
      <c r="D83" s="22"/>
      <c r="E83" s="27"/>
      <c r="F83" s="54"/>
      <c r="G83" s="51">
        <f>SUM(G84)</f>
        <v>0</v>
      </c>
    </row>
    <row r="84" spans="1:11" ht="45" x14ac:dyDescent="0.2">
      <c r="A84" s="15" t="s">
        <v>66</v>
      </c>
      <c r="B84" s="94" t="s">
        <v>3</v>
      </c>
      <c r="C84" s="13" t="s">
        <v>197</v>
      </c>
      <c r="D84" s="6" t="s">
        <v>113</v>
      </c>
      <c r="E84" s="26">
        <f>447*6</f>
        <v>2682</v>
      </c>
      <c r="F84" s="52"/>
      <c r="G84" s="49">
        <f>E84*F84</f>
        <v>0</v>
      </c>
    </row>
    <row r="85" spans="1:11" ht="30" x14ac:dyDescent="0.2">
      <c r="A85" s="31" t="s">
        <v>142</v>
      </c>
      <c r="B85" s="97" t="s">
        <v>48</v>
      </c>
      <c r="C85" s="29" t="s">
        <v>47</v>
      </c>
      <c r="D85" s="22"/>
      <c r="E85" s="27"/>
      <c r="F85" s="54"/>
      <c r="G85" s="51">
        <f>G86</f>
        <v>0</v>
      </c>
    </row>
    <row r="86" spans="1:11" ht="45" x14ac:dyDescent="0.2">
      <c r="A86" s="15" t="s">
        <v>143</v>
      </c>
      <c r="B86" s="94" t="s">
        <v>4</v>
      </c>
      <c r="C86" s="13" t="s">
        <v>198</v>
      </c>
      <c r="D86" s="6" t="s">
        <v>113</v>
      </c>
      <c r="E86" s="26">
        <f>447*6</f>
        <v>2682</v>
      </c>
      <c r="F86" s="52"/>
      <c r="G86" s="49">
        <f>E86*F86</f>
        <v>0</v>
      </c>
    </row>
    <row r="87" spans="1:11" ht="15" x14ac:dyDescent="0.2">
      <c r="A87" s="31" t="s">
        <v>57</v>
      </c>
      <c r="B87" s="97" t="s">
        <v>50</v>
      </c>
      <c r="C87" s="29" t="s">
        <v>49</v>
      </c>
      <c r="D87" s="22"/>
      <c r="E87" s="27"/>
      <c r="F87" s="54"/>
      <c r="G87" s="51">
        <f>G88</f>
        <v>0</v>
      </c>
    </row>
    <row r="88" spans="1:11" ht="90" x14ac:dyDescent="0.2">
      <c r="A88" s="15" t="s">
        <v>58</v>
      </c>
      <c r="B88" s="94"/>
      <c r="C88" s="13" t="s">
        <v>242</v>
      </c>
      <c r="D88" s="6" t="s">
        <v>113</v>
      </c>
      <c r="E88" s="26">
        <f>6*5*2</f>
        <v>60</v>
      </c>
      <c r="F88" s="52"/>
      <c r="G88" s="49">
        <f>E88*F88</f>
        <v>0</v>
      </c>
    </row>
    <row r="89" spans="1:11" ht="15" x14ac:dyDescent="0.2">
      <c r="A89" s="31" t="s">
        <v>60</v>
      </c>
      <c r="B89" s="97" t="s">
        <v>51</v>
      </c>
      <c r="C89" s="29" t="s">
        <v>52</v>
      </c>
      <c r="D89" s="22"/>
      <c r="E89" s="27"/>
      <c r="F89" s="54"/>
      <c r="G89" s="51">
        <f>SUM(G90,G91)</f>
        <v>0</v>
      </c>
    </row>
    <row r="90" spans="1:11" ht="80.25" customHeight="1" x14ac:dyDescent="0.2">
      <c r="A90" s="15" t="s">
        <v>61</v>
      </c>
      <c r="B90" s="94"/>
      <c r="C90" s="34" t="s">
        <v>278</v>
      </c>
      <c r="D90" s="6" t="s">
        <v>113</v>
      </c>
      <c r="E90" s="26">
        <f>266.38+119.26</f>
        <v>385.64</v>
      </c>
      <c r="F90" s="52"/>
      <c r="G90" s="49">
        <f>E90*F90</f>
        <v>0</v>
      </c>
      <c r="I90" s="114"/>
    </row>
    <row r="91" spans="1:11" ht="66" customHeight="1" x14ac:dyDescent="0.2">
      <c r="A91" s="35" t="s">
        <v>144</v>
      </c>
      <c r="B91" s="94"/>
      <c r="C91" s="34" t="s">
        <v>279</v>
      </c>
      <c r="D91" s="6" t="s">
        <v>113</v>
      </c>
      <c r="E91" s="26">
        <f>512*1.5-54.5*1.5</f>
        <v>686.25</v>
      </c>
      <c r="F91" s="52"/>
      <c r="G91" s="49">
        <f>E91*F91</f>
        <v>0</v>
      </c>
      <c r="K91" s="1">
        <f>(4*5+4)*6+4.2*5+4.41+4.2*3.2+4.41+(4.2*3+4.41)*2+3*6.3+1+1.8*4.1+0.81+4.2*3+4.41</f>
        <v>266.38</v>
      </c>
    </row>
    <row r="92" spans="1:11" ht="15" x14ac:dyDescent="0.2">
      <c r="A92" s="18">
        <v>5</v>
      </c>
      <c r="B92" s="95" t="s">
        <v>30</v>
      </c>
      <c r="C92" s="20" t="s">
        <v>31</v>
      </c>
      <c r="D92" s="19"/>
      <c r="E92" s="59"/>
      <c r="F92" s="53"/>
      <c r="G92" s="50">
        <f>G93</f>
        <v>0</v>
      </c>
    </row>
    <row r="93" spans="1:11" ht="15" x14ac:dyDescent="0.2">
      <c r="A93" s="31" t="s">
        <v>1</v>
      </c>
      <c r="B93" s="97" t="s">
        <v>109</v>
      </c>
      <c r="C93" s="29" t="s">
        <v>110</v>
      </c>
      <c r="D93" s="22"/>
      <c r="E93" s="27"/>
      <c r="F93" s="54"/>
      <c r="G93" s="51">
        <f>SUM(G94,G97)</f>
        <v>0</v>
      </c>
    </row>
    <row r="94" spans="1:11" ht="45" x14ac:dyDescent="0.2">
      <c r="A94" s="15" t="s">
        <v>2</v>
      </c>
      <c r="B94" s="94"/>
      <c r="C94" s="13" t="s">
        <v>68</v>
      </c>
      <c r="D94" s="6" t="s">
        <v>113</v>
      </c>
      <c r="E94" s="26">
        <f>SUM(E95:E96)</f>
        <v>1408.08</v>
      </c>
      <c r="F94" s="52"/>
      <c r="G94" s="49">
        <f>SUM(G95:G96)</f>
        <v>0</v>
      </c>
    </row>
    <row r="95" spans="1:11" ht="45" x14ac:dyDescent="0.2">
      <c r="A95" s="35" t="s">
        <v>115</v>
      </c>
      <c r="B95" s="94"/>
      <c r="C95" s="25" t="s">
        <v>281</v>
      </c>
      <c r="D95" s="6" t="s">
        <v>113</v>
      </c>
      <c r="E95" s="26">
        <f>(447-54.5 )*1+ (447-37.2)*0.85</f>
        <v>740.83</v>
      </c>
      <c r="F95" s="52"/>
      <c r="G95" s="49">
        <f>E95*F95</f>
        <v>0</v>
      </c>
    </row>
    <row r="96" spans="1:11" ht="30" x14ac:dyDescent="0.2">
      <c r="A96" s="35" t="s">
        <v>116</v>
      </c>
      <c r="B96" s="94"/>
      <c r="C96" s="13" t="s">
        <v>280</v>
      </c>
      <c r="D96" s="6" t="s">
        <v>113</v>
      </c>
      <c r="E96" s="26">
        <f>(447-54.5)*1.7</f>
        <v>667.25</v>
      </c>
      <c r="F96" s="52"/>
      <c r="G96" s="49">
        <f>E96*F96</f>
        <v>0</v>
      </c>
    </row>
    <row r="97" spans="1:184" ht="52.5" customHeight="1" x14ac:dyDescent="0.2">
      <c r="A97" s="15" t="s">
        <v>145</v>
      </c>
      <c r="B97" s="94"/>
      <c r="C97" s="34" t="s">
        <v>69</v>
      </c>
      <c r="D97" s="6" t="s">
        <v>113</v>
      </c>
      <c r="E97" s="26">
        <f>SUM(E98:E99)</f>
        <v>1473.08</v>
      </c>
      <c r="F97" s="52"/>
      <c r="G97" s="49">
        <f>SUM(G98:G99)</f>
        <v>0</v>
      </c>
    </row>
    <row r="98" spans="1:184" ht="45" x14ac:dyDescent="0.2">
      <c r="A98" s="35" t="s">
        <v>115</v>
      </c>
      <c r="B98" s="94"/>
      <c r="C98" s="25" t="s">
        <v>282</v>
      </c>
      <c r="D98" s="6" t="s">
        <v>113</v>
      </c>
      <c r="E98" s="26">
        <f>(512-54.5 )*1+ (447-37.2)*0.85</f>
        <v>805.83</v>
      </c>
      <c r="F98" s="52"/>
      <c r="G98" s="52">
        <f>E98*F98</f>
        <v>0</v>
      </c>
    </row>
    <row r="99" spans="1:184" s="8" customFormat="1" ht="30" x14ac:dyDescent="0.2">
      <c r="A99" s="35" t="s">
        <v>116</v>
      </c>
      <c r="B99" s="94"/>
      <c r="C99" s="25" t="s">
        <v>283</v>
      </c>
      <c r="D99" s="6" t="s">
        <v>113</v>
      </c>
      <c r="E99" s="26">
        <f>(447-54.5)*1.7</f>
        <v>667.25</v>
      </c>
      <c r="F99" s="52"/>
      <c r="G99" s="52">
        <f>E99*F99</f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</row>
    <row r="100" spans="1:184" ht="15" x14ac:dyDescent="0.2">
      <c r="A100" s="18">
        <v>6</v>
      </c>
      <c r="B100" s="95" t="s">
        <v>70</v>
      </c>
      <c r="C100" s="20" t="s">
        <v>71</v>
      </c>
      <c r="D100" s="19"/>
      <c r="E100" s="59"/>
      <c r="F100" s="70"/>
      <c r="G100" s="53">
        <f>G101+G104</f>
        <v>0</v>
      </c>
    </row>
    <row r="101" spans="1:184" ht="15" x14ac:dyDescent="0.2">
      <c r="A101" s="36" t="s">
        <v>32</v>
      </c>
      <c r="B101" s="97" t="s">
        <v>77</v>
      </c>
      <c r="C101" s="29" t="s">
        <v>99</v>
      </c>
      <c r="D101" s="22"/>
      <c r="E101" s="27"/>
      <c r="F101" s="71"/>
      <c r="G101" s="54">
        <f>SUM(G102,G103)</f>
        <v>0</v>
      </c>
    </row>
    <row r="102" spans="1:184" ht="120" x14ac:dyDescent="0.2">
      <c r="A102" s="15" t="s">
        <v>33</v>
      </c>
      <c r="B102" s="94"/>
      <c r="C102" s="9" t="s">
        <v>199</v>
      </c>
      <c r="D102" s="6" t="s">
        <v>18</v>
      </c>
      <c r="E102" s="26">
        <f>447*2-54.5-37.2</f>
        <v>802.3</v>
      </c>
      <c r="F102" s="52"/>
      <c r="G102" s="52">
        <f>E102*F102</f>
        <v>0</v>
      </c>
    </row>
    <row r="103" spans="1:184" ht="120" x14ac:dyDescent="0.2">
      <c r="A103" s="15" t="s">
        <v>111</v>
      </c>
      <c r="B103" s="94"/>
      <c r="C103" s="9" t="s">
        <v>284</v>
      </c>
      <c r="D103" s="6" t="s">
        <v>18</v>
      </c>
      <c r="E103" s="26">
        <f>87.2+52+58+33</f>
        <v>230.2</v>
      </c>
      <c r="F103" s="52"/>
      <c r="G103" s="52">
        <f>E103*F103</f>
        <v>0</v>
      </c>
    </row>
    <row r="104" spans="1:184" ht="15" x14ac:dyDescent="0.2">
      <c r="A104" s="31" t="s">
        <v>146</v>
      </c>
      <c r="B104" s="97" t="s">
        <v>78</v>
      </c>
      <c r="C104" s="29" t="s">
        <v>79</v>
      </c>
      <c r="D104" s="22"/>
      <c r="E104" s="27"/>
      <c r="F104" s="71"/>
      <c r="G104" s="51">
        <f>G105</f>
        <v>0</v>
      </c>
    </row>
    <row r="105" spans="1:184" ht="60" x14ac:dyDescent="0.2">
      <c r="A105" s="15" t="s">
        <v>147</v>
      </c>
      <c r="B105" s="94"/>
      <c r="C105" s="32" t="s">
        <v>285</v>
      </c>
      <c r="D105" s="6" t="s">
        <v>18</v>
      </c>
      <c r="E105" s="26">
        <f>1024-54.5-37.2</f>
        <v>932.3</v>
      </c>
      <c r="F105" s="52"/>
      <c r="G105" s="49">
        <f>E105*F105</f>
        <v>0</v>
      </c>
    </row>
    <row r="106" spans="1:184" ht="24" customHeight="1" x14ac:dyDescent="0.2">
      <c r="A106" s="147"/>
      <c r="B106" s="148"/>
      <c r="C106" s="149" t="s">
        <v>200</v>
      </c>
      <c r="D106" s="150"/>
      <c r="E106" s="150"/>
      <c r="F106" s="151"/>
      <c r="G106" s="92">
        <f>SUM(G100,G92,G82,G57,G50,G22)</f>
        <v>0</v>
      </c>
    </row>
    <row r="107" spans="1:184" ht="18.75" customHeight="1" x14ac:dyDescent="0.2">
      <c r="A107" s="118" t="s">
        <v>240</v>
      </c>
      <c r="B107" s="119"/>
      <c r="C107" s="119" t="s">
        <v>152</v>
      </c>
      <c r="D107" s="119"/>
      <c r="E107" s="120"/>
      <c r="F107" s="64"/>
      <c r="G107" s="64"/>
    </row>
    <row r="108" spans="1:184" ht="15" x14ac:dyDescent="0.2">
      <c r="A108" s="39" t="s">
        <v>216</v>
      </c>
      <c r="B108" s="100"/>
      <c r="C108" s="39" t="s">
        <v>153</v>
      </c>
      <c r="D108" s="39"/>
      <c r="E108" s="61"/>
      <c r="F108" s="61"/>
      <c r="G108" s="53">
        <f>SUM(G109:G119)</f>
        <v>0</v>
      </c>
    </row>
    <row r="109" spans="1:184" ht="45" x14ac:dyDescent="0.2">
      <c r="A109" s="112" t="s">
        <v>217</v>
      </c>
      <c r="B109" s="101" t="s">
        <v>154</v>
      </c>
      <c r="C109" s="38" t="s">
        <v>155</v>
      </c>
      <c r="D109" s="37" t="s">
        <v>22</v>
      </c>
      <c r="E109" s="62">
        <v>598.77</v>
      </c>
      <c r="F109" s="62"/>
      <c r="G109" s="49">
        <f>E109*F109</f>
        <v>0</v>
      </c>
    </row>
    <row r="110" spans="1:184" ht="24" x14ac:dyDescent="0.2">
      <c r="A110" s="112" t="s">
        <v>218</v>
      </c>
      <c r="B110" s="101" t="s">
        <v>156</v>
      </c>
      <c r="C110" s="38" t="s">
        <v>157</v>
      </c>
      <c r="D110" s="37" t="s">
        <v>22</v>
      </c>
      <c r="E110" s="63">
        <f>0.3*0.9*(180.3-8.8)</f>
        <v>46.31</v>
      </c>
      <c r="F110" s="62"/>
      <c r="G110" s="49">
        <f t="shared" ref="G110:G119" si="2">E110*F110</f>
        <v>0</v>
      </c>
    </row>
    <row r="111" spans="1:184" ht="24" x14ac:dyDescent="0.2">
      <c r="A111" s="112" t="s">
        <v>219</v>
      </c>
      <c r="B111" s="101" t="s">
        <v>158</v>
      </c>
      <c r="C111" s="38" t="s">
        <v>159</v>
      </c>
      <c r="D111" s="37" t="s">
        <v>22</v>
      </c>
      <c r="E111" s="63">
        <f>0.1*0.9*(180.3-8.8)</f>
        <v>15.44</v>
      </c>
      <c r="F111" s="62"/>
      <c r="G111" s="49">
        <f t="shared" si="2"/>
        <v>0</v>
      </c>
    </row>
    <row r="112" spans="1:184" ht="30" x14ac:dyDescent="0.2">
      <c r="A112" s="112" t="s">
        <v>220</v>
      </c>
      <c r="B112" s="101" t="s">
        <v>160</v>
      </c>
      <c r="C112" s="38" t="s">
        <v>161</v>
      </c>
      <c r="D112" s="37" t="s">
        <v>18</v>
      </c>
      <c r="E112" s="63">
        <f>180.3-8.8</f>
        <v>171.5</v>
      </c>
      <c r="F112" s="62"/>
      <c r="G112" s="49">
        <f t="shared" si="2"/>
        <v>0</v>
      </c>
    </row>
    <row r="113" spans="1:7" ht="30" x14ac:dyDescent="0.2">
      <c r="A113" s="112" t="s">
        <v>221</v>
      </c>
      <c r="B113" s="101" t="s">
        <v>267</v>
      </c>
      <c r="C113" s="38" t="s">
        <v>252</v>
      </c>
      <c r="D113" s="37" t="s">
        <v>18</v>
      </c>
      <c r="E113" s="63">
        <f>5.5*3+6.5*4</f>
        <v>42.5</v>
      </c>
      <c r="F113" s="62"/>
      <c r="G113" s="49">
        <f t="shared" si="2"/>
        <v>0</v>
      </c>
    </row>
    <row r="114" spans="1:7" ht="30" x14ac:dyDescent="0.2">
      <c r="A114" s="112" t="s">
        <v>222</v>
      </c>
      <c r="B114" s="101" t="s">
        <v>162</v>
      </c>
      <c r="C114" s="38" t="s">
        <v>256</v>
      </c>
      <c r="D114" s="37" t="s">
        <v>26</v>
      </c>
      <c r="E114" s="62">
        <v>1</v>
      </c>
      <c r="F114" s="62"/>
      <c r="G114" s="49">
        <f t="shared" si="2"/>
        <v>0</v>
      </c>
    </row>
    <row r="115" spans="1:7" ht="30" x14ac:dyDescent="0.2">
      <c r="A115" s="112" t="s">
        <v>223</v>
      </c>
      <c r="B115" s="101" t="s">
        <v>162</v>
      </c>
      <c r="C115" s="38" t="s">
        <v>257</v>
      </c>
      <c r="D115" s="37" t="s">
        <v>26</v>
      </c>
      <c r="E115" s="62">
        <v>1</v>
      </c>
      <c r="F115" s="62"/>
      <c r="G115" s="49">
        <f t="shared" si="2"/>
        <v>0</v>
      </c>
    </row>
    <row r="116" spans="1:7" ht="30" x14ac:dyDescent="0.2">
      <c r="A116" s="112" t="s">
        <v>224</v>
      </c>
      <c r="B116" s="101" t="s">
        <v>162</v>
      </c>
      <c r="C116" s="38" t="s">
        <v>258</v>
      </c>
      <c r="D116" s="37" t="s">
        <v>26</v>
      </c>
      <c r="E116" s="62">
        <v>1</v>
      </c>
      <c r="F116" s="62"/>
      <c r="G116" s="49">
        <f t="shared" si="2"/>
        <v>0</v>
      </c>
    </row>
    <row r="117" spans="1:7" ht="30" x14ac:dyDescent="0.2">
      <c r="A117" s="112" t="s">
        <v>225</v>
      </c>
      <c r="B117" s="101" t="s">
        <v>162</v>
      </c>
      <c r="C117" s="38" t="s">
        <v>259</v>
      </c>
      <c r="D117" s="37" t="s">
        <v>26</v>
      </c>
      <c r="E117" s="62">
        <v>1</v>
      </c>
      <c r="F117" s="62"/>
      <c r="G117" s="49">
        <f t="shared" si="2"/>
        <v>0</v>
      </c>
    </row>
    <row r="118" spans="1:7" ht="45" x14ac:dyDescent="0.2">
      <c r="A118" s="112" t="s">
        <v>226</v>
      </c>
      <c r="B118" s="101" t="s">
        <v>163</v>
      </c>
      <c r="C118" s="38" t="s">
        <v>164</v>
      </c>
      <c r="D118" s="37" t="s">
        <v>22</v>
      </c>
      <c r="E118" s="62">
        <v>566.32000000000005</v>
      </c>
      <c r="F118" s="62"/>
      <c r="G118" s="49">
        <f t="shared" si="2"/>
        <v>0</v>
      </c>
    </row>
    <row r="119" spans="1:7" ht="30" x14ac:dyDescent="0.2">
      <c r="A119" s="112" t="s">
        <v>251</v>
      </c>
      <c r="B119" s="101" t="s">
        <v>165</v>
      </c>
      <c r="C119" s="38" t="s">
        <v>166</v>
      </c>
      <c r="D119" s="37" t="s">
        <v>22</v>
      </c>
      <c r="E119" s="62">
        <v>566.32000000000005</v>
      </c>
      <c r="F119" s="62"/>
      <c r="G119" s="49">
        <f t="shared" si="2"/>
        <v>0</v>
      </c>
    </row>
    <row r="120" spans="1:7" ht="15" x14ac:dyDescent="0.2">
      <c r="A120" s="113" t="s">
        <v>227</v>
      </c>
      <c r="B120" s="100"/>
      <c r="C120" s="39" t="s">
        <v>167</v>
      </c>
      <c r="D120" s="39"/>
      <c r="E120" s="61"/>
      <c r="F120" s="61"/>
      <c r="G120" s="53">
        <f>SUM(G121:G134)</f>
        <v>0</v>
      </c>
    </row>
    <row r="121" spans="1:7" ht="45" x14ac:dyDescent="0.2">
      <c r="A121" s="112" t="s">
        <v>72</v>
      </c>
      <c r="B121" s="101" t="s">
        <v>154</v>
      </c>
      <c r="C121" s="38" t="s">
        <v>155</v>
      </c>
      <c r="D121" s="37" t="s">
        <v>22</v>
      </c>
      <c r="E121" s="62">
        <v>564.97</v>
      </c>
      <c r="F121" s="62"/>
      <c r="G121" s="49">
        <f>E121*F121</f>
        <v>0</v>
      </c>
    </row>
    <row r="122" spans="1:7" ht="24" x14ac:dyDescent="0.2">
      <c r="A122" s="112" t="s">
        <v>108</v>
      </c>
      <c r="B122" s="101" t="s">
        <v>156</v>
      </c>
      <c r="C122" s="38" t="s">
        <v>157</v>
      </c>
      <c r="D122" s="37" t="s">
        <v>22</v>
      </c>
      <c r="E122" s="62">
        <f>0.3*0.9*251.1</f>
        <v>67.8</v>
      </c>
      <c r="F122" s="62"/>
      <c r="G122" s="49">
        <f t="shared" ref="G122:G134" si="3">E122*F122</f>
        <v>0</v>
      </c>
    </row>
    <row r="123" spans="1:7" ht="24" x14ac:dyDescent="0.2">
      <c r="A123" s="112" t="s">
        <v>53</v>
      </c>
      <c r="B123" s="101" t="s">
        <v>158</v>
      </c>
      <c r="C123" s="38" t="s">
        <v>159</v>
      </c>
      <c r="D123" s="37" t="s">
        <v>22</v>
      </c>
      <c r="E123" s="62">
        <f>0.1*0.9*251.1</f>
        <v>22.6</v>
      </c>
      <c r="F123" s="62"/>
      <c r="G123" s="49">
        <f t="shared" si="3"/>
        <v>0</v>
      </c>
    </row>
    <row r="124" spans="1:7" ht="30" x14ac:dyDescent="0.2">
      <c r="A124" s="112" t="s">
        <v>228</v>
      </c>
      <c r="B124" s="101" t="s">
        <v>160</v>
      </c>
      <c r="C124" s="38" t="s">
        <v>161</v>
      </c>
      <c r="D124" s="37" t="s">
        <v>18</v>
      </c>
      <c r="E124" s="62">
        <v>251.1</v>
      </c>
      <c r="F124" s="62"/>
      <c r="G124" s="49">
        <f t="shared" si="3"/>
        <v>0</v>
      </c>
    </row>
    <row r="125" spans="1:7" ht="30" x14ac:dyDescent="0.2">
      <c r="A125" s="112" t="s">
        <v>229</v>
      </c>
      <c r="B125" s="101" t="s">
        <v>267</v>
      </c>
      <c r="C125" s="38" t="s">
        <v>252</v>
      </c>
      <c r="D125" s="37" t="s">
        <v>18</v>
      </c>
      <c r="E125" s="62">
        <f>5.5*2+6*11</f>
        <v>77</v>
      </c>
      <c r="F125" s="62"/>
      <c r="G125" s="49">
        <f t="shared" si="3"/>
        <v>0</v>
      </c>
    </row>
    <row r="126" spans="1:7" ht="30" x14ac:dyDescent="0.2">
      <c r="A126" s="112" t="s">
        <v>230</v>
      </c>
      <c r="B126" s="101" t="s">
        <v>162</v>
      </c>
      <c r="C126" s="38" t="s">
        <v>260</v>
      </c>
      <c r="D126" s="37" t="s">
        <v>26</v>
      </c>
      <c r="E126" s="62">
        <v>1</v>
      </c>
      <c r="F126" s="62"/>
      <c r="G126" s="49">
        <f t="shared" si="3"/>
        <v>0</v>
      </c>
    </row>
    <row r="127" spans="1:7" ht="30" x14ac:dyDescent="0.2">
      <c r="A127" s="112" t="s">
        <v>231</v>
      </c>
      <c r="B127" s="101" t="s">
        <v>162</v>
      </c>
      <c r="C127" s="38" t="s">
        <v>261</v>
      </c>
      <c r="D127" s="37" t="s">
        <v>26</v>
      </c>
      <c r="E127" s="62">
        <v>2</v>
      </c>
      <c r="F127" s="62"/>
      <c r="G127" s="49">
        <f t="shared" si="3"/>
        <v>0</v>
      </c>
    </row>
    <row r="128" spans="1:7" ht="30" x14ac:dyDescent="0.2">
      <c r="A128" s="112" t="s">
        <v>232</v>
      </c>
      <c r="B128" s="101" t="s">
        <v>162</v>
      </c>
      <c r="C128" s="38" t="s">
        <v>262</v>
      </c>
      <c r="D128" s="37" t="s">
        <v>26</v>
      </c>
      <c r="E128" s="62">
        <v>1</v>
      </c>
      <c r="F128" s="62"/>
      <c r="G128" s="49">
        <f t="shared" si="3"/>
        <v>0</v>
      </c>
    </row>
    <row r="129" spans="1:7" ht="30" x14ac:dyDescent="0.2">
      <c r="A129" s="112" t="s">
        <v>233</v>
      </c>
      <c r="B129" s="101" t="s">
        <v>162</v>
      </c>
      <c r="C129" s="38" t="s">
        <v>263</v>
      </c>
      <c r="D129" s="37" t="s">
        <v>26</v>
      </c>
      <c r="E129" s="62">
        <v>1</v>
      </c>
      <c r="F129" s="62"/>
      <c r="G129" s="49">
        <f t="shared" si="3"/>
        <v>0</v>
      </c>
    </row>
    <row r="130" spans="1:7" ht="30" x14ac:dyDescent="0.2">
      <c r="A130" s="112" t="s">
        <v>234</v>
      </c>
      <c r="B130" s="101" t="s">
        <v>162</v>
      </c>
      <c r="C130" s="38" t="s">
        <v>264</v>
      </c>
      <c r="D130" s="37" t="s">
        <v>26</v>
      </c>
      <c r="E130" s="62">
        <v>1</v>
      </c>
      <c r="F130" s="62"/>
      <c r="G130" s="49">
        <f t="shared" si="3"/>
        <v>0</v>
      </c>
    </row>
    <row r="131" spans="1:7" ht="30" x14ac:dyDescent="0.2">
      <c r="A131" s="112" t="s">
        <v>235</v>
      </c>
      <c r="B131" s="101" t="s">
        <v>162</v>
      </c>
      <c r="C131" s="38" t="s">
        <v>265</v>
      </c>
      <c r="D131" s="37" t="s">
        <v>26</v>
      </c>
      <c r="E131" s="62">
        <v>1</v>
      </c>
      <c r="F131" s="62"/>
      <c r="G131" s="49">
        <f t="shared" si="3"/>
        <v>0</v>
      </c>
    </row>
    <row r="132" spans="1:7" ht="30" x14ac:dyDescent="0.2">
      <c r="A132" s="112" t="s">
        <v>236</v>
      </c>
      <c r="B132" s="101" t="s">
        <v>162</v>
      </c>
      <c r="C132" s="38" t="s">
        <v>266</v>
      </c>
      <c r="D132" s="37" t="s">
        <v>26</v>
      </c>
      <c r="E132" s="62">
        <v>1</v>
      </c>
      <c r="F132" s="62"/>
      <c r="G132" s="49">
        <f t="shared" si="3"/>
        <v>0</v>
      </c>
    </row>
    <row r="133" spans="1:7" ht="45" x14ac:dyDescent="0.2">
      <c r="A133" s="112" t="s">
        <v>253</v>
      </c>
      <c r="B133" s="101" t="s">
        <v>163</v>
      </c>
      <c r="C133" s="38" t="s">
        <v>164</v>
      </c>
      <c r="D133" s="37" t="s">
        <v>22</v>
      </c>
      <c r="E133" s="62">
        <v>565.23</v>
      </c>
      <c r="F133" s="62"/>
      <c r="G133" s="49">
        <f t="shared" si="3"/>
        <v>0</v>
      </c>
    </row>
    <row r="134" spans="1:7" ht="30" x14ac:dyDescent="0.2">
      <c r="A134" s="112" t="s">
        <v>254</v>
      </c>
      <c r="B134" s="101" t="s">
        <v>165</v>
      </c>
      <c r="C134" s="38" t="s">
        <v>166</v>
      </c>
      <c r="D134" s="37" t="s">
        <v>22</v>
      </c>
      <c r="E134" s="62">
        <v>565.23</v>
      </c>
      <c r="F134" s="62"/>
      <c r="G134" s="49">
        <f t="shared" si="3"/>
        <v>0</v>
      </c>
    </row>
    <row r="135" spans="1:7" ht="19.5" customHeight="1" x14ac:dyDescent="0.2">
      <c r="A135" s="141"/>
      <c r="B135" s="142"/>
      <c r="C135" s="137" t="s">
        <v>201</v>
      </c>
      <c r="D135" s="137"/>
      <c r="E135" s="137"/>
      <c r="F135" s="137"/>
      <c r="G135" s="49">
        <f>SUM(G120,G108)</f>
        <v>0</v>
      </c>
    </row>
    <row r="136" spans="1:7" ht="25.5" hidden="1" customHeight="1" x14ac:dyDescent="0.2">
      <c r="A136" s="143"/>
      <c r="B136" s="144"/>
      <c r="C136" s="87" t="s">
        <v>155</v>
      </c>
      <c r="D136" s="88" t="s">
        <v>22</v>
      </c>
      <c r="E136" s="89">
        <v>271.01</v>
      </c>
      <c r="F136" s="90">
        <v>65</v>
      </c>
      <c r="G136" s="91">
        <f>E136*F136</f>
        <v>17615.650000000001</v>
      </c>
    </row>
    <row r="137" spans="1:7" ht="25.5" hidden="1" customHeight="1" x14ac:dyDescent="0.2">
      <c r="A137" s="143"/>
      <c r="B137" s="144"/>
      <c r="C137" s="79" t="s">
        <v>168</v>
      </c>
      <c r="D137" s="80" t="s">
        <v>22</v>
      </c>
      <c r="E137" s="75" t="s">
        <v>169</v>
      </c>
      <c r="F137" s="72">
        <v>45</v>
      </c>
      <c r="G137" s="91">
        <f t="shared" ref="G137:G144" si="4">E137*F137</f>
        <v>1143.45</v>
      </c>
    </row>
    <row r="138" spans="1:7" ht="25.5" hidden="1" customHeight="1" x14ac:dyDescent="0.2">
      <c r="A138" s="143"/>
      <c r="B138" s="144"/>
      <c r="C138" s="79" t="s">
        <v>170</v>
      </c>
      <c r="D138" s="80" t="s">
        <v>22</v>
      </c>
      <c r="E138" s="75" t="s">
        <v>171</v>
      </c>
      <c r="F138" s="72">
        <v>45</v>
      </c>
      <c r="G138" s="91">
        <f t="shared" si="4"/>
        <v>381.15</v>
      </c>
    </row>
    <row r="139" spans="1:7" ht="25.5" hidden="1" customHeight="1" x14ac:dyDescent="0.2">
      <c r="A139" s="143"/>
      <c r="B139" s="144"/>
      <c r="C139" s="79" t="s">
        <v>172</v>
      </c>
      <c r="D139" s="80" t="s">
        <v>18</v>
      </c>
      <c r="E139" s="75">
        <v>72.8</v>
      </c>
      <c r="F139" s="72">
        <v>140</v>
      </c>
      <c r="G139" s="91">
        <f t="shared" si="4"/>
        <v>10192</v>
      </c>
    </row>
    <row r="140" spans="1:7" ht="25.5" hidden="1" customHeight="1" x14ac:dyDescent="0.2">
      <c r="A140" s="143"/>
      <c r="B140" s="144"/>
      <c r="C140" s="79" t="s">
        <v>161</v>
      </c>
      <c r="D140" s="80" t="s">
        <v>18</v>
      </c>
      <c r="E140" s="75">
        <v>21.3</v>
      </c>
      <c r="F140" s="72">
        <v>150</v>
      </c>
      <c r="G140" s="91">
        <f t="shared" si="4"/>
        <v>3195</v>
      </c>
    </row>
    <row r="141" spans="1:7" ht="25.5" hidden="1" customHeight="1" x14ac:dyDescent="0.2">
      <c r="A141" s="143"/>
      <c r="B141" s="144"/>
      <c r="C141" s="79" t="s">
        <v>173</v>
      </c>
      <c r="D141" s="80" t="s">
        <v>174</v>
      </c>
      <c r="E141" s="75">
        <v>11</v>
      </c>
      <c r="F141" s="72">
        <v>25</v>
      </c>
      <c r="G141" s="91">
        <f t="shared" si="4"/>
        <v>275</v>
      </c>
    </row>
    <row r="142" spans="1:7" ht="25.5" hidden="1" customHeight="1" x14ac:dyDescent="0.2">
      <c r="A142" s="143"/>
      <c r="B142" s="144"/>
      <c r="C142" s="79" t="s">
        <v>175</v>
      </c>
      <c r="D142" s="80" t="s">
        <v>174</v>
      </c>
      <c r="E142" s="75">
        <v>3</v>
      </c>
      <c r="F142" s="72">
        <v>30</v>
      </c>
      <c r="G142" s="91">
        <f t="shared" si="4"/>
        <v>90</v>
      </c>
    </row>
    <row r="143" spans="1:7" ht="38.25" hidden="1" customHeight="1" x14ac:dyDescent="0.2">
      <c r="A143" s="143"/>
      <c r="B143" s="144"/>
      <c r="C143" s="79" t="s">
        <v>176</v>
      </c>
      <c r="D143" s="80" t="s">
        <v>22</v>
      </c>
      <c r="E143" s="75">
        <v>189.71</v>
      </c>
      <c r="F143" s="72">
        <v>50</v>
      </c>
      <c r="G143" s="91">
        <f t="shared" si="4"/>
        <v>9485.5</v>
      </c>
    </row>
    <row r="144" spans="1:7" ht="25.5" hidden="1" customHeight="1" x14ac:dyDescent="0.2">
      <c r="A144" s="143"/>
      <c r="B144" s="144"/>
      <c r="C144" s="79" t="s">
        <v>166</v>
      </c>
      <c r="D144" s="80" t="s">
        <v>22</v>
      </c>
      <c r="E144" s="75">
        <v>189.71</v>
      </c>
      <c r="F144" s="72">
        <v>50</v>
      </c>
      <c r="G144" s="91">
        <f t="shared" si="4"/>
        <v>9485.5</v>
      </c>
    </row>
    <row r="145" spans="1:7" ht="15" hidden="1" customHeight="1" x14ac:dyDescent="0.2">
      <c r="A145" s="143"/>
      <c r="B145" s="144"/>
      <c r="C145" s="81"/>
      <c r="D145" s="81"/>
      <c r="E145" s="76"/>
      <c r="F145" s="73"/>
      <c r="G145" s="91">
        <f>SUM(G136:G144)</f>
        <v>51863.25</v>
      </c>
    </row>
    <row r="146" spans="1:7" ht="15" hidden="1" customHeight="1" x14ac:dyDescent="0.2">
      <c r="A146" s="143"/>
      <c r="B146" s="144"/>
      <c r="C146" s="82" t="s">
        <v>177</v>
      </c>
      <c r="D146" s="82"/>
      <c r="E146" s="77"/>
      <c r="F146" s="74"/>
      <c r="G146" s="91"/>
    </row>
    <row r="147" spans="1:7" ht="30" hidden="1" customHeight="1" x14ac:dyDescent="0.2">
      <c r="A147" s="143"/>
      <c r="B147" s="144"/>
      <c r="C147" s="83" t="s">
        <v>178</v>
      </c>
      <c r="D147" s="84" t="s">
        <v>26</v>
      </c>
      <c r="E147" s="75">
        <v>100</v>
      </c>
      <c r="F147" s="72">
        <v>209</v>
      </c>
      <c r="G147" s="91">
        <f>E147*F147</f>
        <v>20900</v>
      </c>
    </row>
    <row r="148" spans="1:7" ht="30" hidden="1" customHeight="1" x14ac:dyDescent="0.2">
      <c r="A148" s="143"/>
      <c r="B148" s="144"/>
      <c r="C148" s="83" t="s">
        <v>179</v>
      </c>
      <c r="D148" s="84" t="s">
        <v>180</v>
      </c>
      <c r="E148" s="75">
        <v>600</v>
      </c>
      <c r="F148" s="72">
        <v>39.6</v>
      </c>
      <c r="G148" s="91">
        <f>E148*F148</f>
        <v>23760</v>
      </c>
    </row>
    <row r="149" spans="1:7" ht="15" hidden="1" customHeight="1" x14ac:dyDescent="0.2">
      <c r="A149" s="143"/>
      <c r="B149" s="144"/>
      <c r="C149" s="85"/>
      <c r="D149" s="85"/>
      <c r="E149" s="77"/>
      <c r="F149" s="74"/>
      <c r="G149" s="91">
        <f>SUM(G147:G148)</f>
        <v>44660</v>
      </c>
    </row>
    <row r="150" spans="1:7" ht="48" hidden="1" customHeight="1" x14ac:dyDescent="0.2">
      <c r="A150" s="143"/>
      <c r="B150" s="144"/>
      <c r="C150" s="85"/>
      <c r="D150" s="85"/>
      <c r="E150" s="77"/>
      <c r="F150" s="74"/>
      <c r="G150" s="91" t="e">
        <f>SUM(G149,G145,#REF!,#REF!)</f>
        <v>#REF!</v>
      </c>
    </row>
    <row r="151" spans="1:7" ht="12" hidden="1" customHeight="1" x14ac:dyDescent="0.2">
      <c r="A151" s="143"/>
      <c r="B151" s="144"/>
      <c r="C151" s="86"/>
      <c r="D151" s="86"/>
      <c r="E151" s="78"/>
      <c r="F151" s="66"/>
      <c r="G151" s="91"/>
    </row>
    <row r="152" spans="1:7" ht="12" hidden="1" customHeight="1" x14ac:dyDescent="0.2">
      <c r="A152" s="143"/>
      <c r="B152" s="144"/>
      <c r="C152" s="86"/>
      <c r="D152" s="86"/>
      <c r="E152" s="78"/>
      <c r="F152" s="66"/>
      <c r="G152" s="91"/>
    </row>
    <row r="153" spans="1:7" ht="12" hidden="1" customHeight="1" x14ac:dyDescent="0.2">
      <c r="A153" s="143"/>
      <c r="B153" s="144"/>
      <c r="C153" s="86"/>
      <c r="D153" s="86"/>
      <c r="E153" s="78"/>
      <c r="F153" s="66"/>
      <c r="G153" s="91"/>
    </row>
    <row r="154" spans="1:7" ht="12" hidden="1" customHeight="1" x14ac:dyDescent="0.2">
      <c r="A154" s="143"/>
      <c r="B154" s="144"/>
      <c r="C154" s="86"/>
      <c r="D154" s="86"/>
      <c r="E154" s="78"/>
      <c r="F154" s="66"/>
      <c r="G154" s="91"/>
    </row>
    <row r="155" spans="1:7" ht="12" hidden="1" customHeight="1" x14ac:dyDescent="0.2">
      <c r="A155" s="143"/>
      <c r="B155" s="144"/>
      <c r="C155" s="86"/>
      <c r="D155" s="86"/>
      <c r="E155" s="78"/>
      <c r="F155" s="66"/>
      <c r="G155" s="91"/>
    </row>
    <row r="156" spans="1:7" ht="12" hidden="1" customHeight="1" x14ac:dyDescent="0.2">
      <c r="A156" s="143"/>
      <c r="B156" s="144"/>
      <c r="C156" s="86"/>
      <c r="D156" s="86"/>
      <c r="E156" s="78"/>
      <c r="F156" s="66"/>
      <c r="G156" s="91"/>
    </row>
    <row r="157" spans="1:7" ht="12" hidden="1" customHeight="1" x14ac:dyDescent="0.2">
      <c r="A157" s="143"/>
      <c r="B157" s="144"/>
      <c r="C157" s="86"/>
      <c r="D157" s="86"/>
      <c r="E157" s="78"/>
      <c r="F157" s="66"/>
      <c r="G157" s="91"/>
    </row>
    <row r="158" spans="1:7" ht="48" hidden="1" customHeight="1" x14ac:dyDescent="0.2">
      <c r="A158" s="143"/>
      <c r="B158" s="144"/>
      <c r="C158" s="86"/>
      <c r="D158" s="86"/>
      <c r="E158" s="78"/>
      <c r="F158" s="66"/>
      <c r="G158" s="91"/>
    </row>
    <row r="159" spans="1:7" ht="12" hidden="1" customHeight="1" x14ac:dyDescent="0.2">
      <c r="A159" s="143"/>
      <c r="B159" s="144"/>
      <c r="C159" s="86"/>
      <c r="D159" s="86"/>
      <c r="E159" s="78"/>
      <c r="F159" s="66"/>
      <c r="G159" s="91"/>
    </row>
    <row r="160" spans="1:7" ht="12" hidden="1" customHeight="1" x14ac:dyDescent="0.2">
      <c r="A160" s="143"/>
      <c r="B160" s="144"/>
      <c r="C160" s="86"/>
      <c r="D160" s="86"/>
      <c r="E160" s="78"/>
      <c r="F160" s="66"/>
      <c r="G160" s="91"/>
    </row>
    <row r="161" spans="1:7" ht="12" hidden="1" customHeight="1" x14ac:dyDescent="0.2">
      <c r="A161" s="143"/>
      <c r="B161" s="144"/>
      <c r="C161" s="86"/>
      <c r="D161" s="86"/>
      <c r="E161" s="78"/>
      <c r="F161" s="66"/>
      <c r="G161" s="91"/>
    </row>
    <row r="162" spans="1:7" ht="12" hidden="1" customHeight="1" x14ac:dyDescent="0.2">
      <c r="A162" s="143"/>
      <c r="B162" s="144"/>
      <c r="C162" s="86"/>
      <c r="D162" s="86"/>
      <c r="E162" s="78"/>
      <c r="F162" s="66"/>
      <c r="G162" s="91"/>
    </row>
    <row r="163" spans="1:7" ht="12" hidden="1" customHeight="1" x14ac:dyDescent="0.2">
      <c r="A163" s="143"/>
      <c r="B163" s="144"/>
      <c r="C163" s="86"/>
      <c r="D163" s="86"/>
      <c r="E163" s="78"/>
      <c r="F163" s="66"/>
      <c r="G163" s="91"/>
    </row>
    <row r="164" spans="1:7" ht="12" hidden="1" customHeight="1" x14ac:dyDescent="0.2">
      <c r="A164" s="143"/>
      <c r="B164" s="144"/>
      <c r="C164" s="86"/>
      <c r="D164" s="86"/>
      <c r="E164" s="78"/>
      <c r="F164" s="66"/>
      <c r="G164" s="91"/>
    </row>
    <row r="165" spans="1:7" ht="12" hidden="1" customHeight="1" x14ac:dyDescent="0.2">
      <c r="A165" s="143"/>
      <c r="B165" s="144"/>
      <c r="C165" s="86"/>
      <c r="D165" s="86"/>
      <c r="E165" s="78"/>
      <c r="F165" s="66"/>
      <c r="G165" s="91"/>
    </row>
    <row r="166" spans="1:7" ht="12" hidden="1" customHeight="1" x14ac:dyDescent="0.2">
      <c r="A166" s="143"/>
      <c r="B166" s="144"/>
      <c r="C166" s="86"/>
      <c r="D166" s="86"/>
      <c r="E166" s="78"/>
      <c r="F166" s="66"/>
      <c r="G166" s="91"/>
    </row>
    <row r="167" spans="1:7" ht="12" hidden="1" customHeight="1" x14ac:dyDescent="0.2">
      <c r="A167" s="143"/>
      <c r="B167" s="144"/>
      <c r="C167" s="86"/>
      <c r="D167" s="86"/>
      <c r="E167" s="78"/>
      <c r="F167" s="66"/>
      <c r="G167" s="91"/>
    </row>
    <row r="168" spans="1:7" ht="12" hidden="1" customHeight="1" x14ac:dyDescent="0.2">
      <c r="A168" s="143"/>
      <c r="B168" s="144"/>
      <c r="C168" s="86"/>
      <c r="D168" s="86"/>
      <c r="E168" s="78"/>
      <c r="F168" s="66"/>
      <c r="G168" s="91"/>
    </row>
    <row r="169" spans="1:7" ht="12" hidden="1" customHeight="1" x14ac:dyDescent="0.2">
      <c r="A169" s="143"/>
      <c r="B169" s="144"/>
      <c r="C169" s="86"/>
      <c r="D169" s="86"/>
      <c r="E169" s="78"/>
      <c r="F169" s="66"/>
      <c r="G169" s="91"/>
    </row>
    <row r="170" spans="1:7" ht="12" hidden="1" customHeight="1" x14ac:dyDescent="0.2">
      <c r="A170" s="143"/>
      <c r="B170" s="144"/>
      <c r="C170" s="86"/>
      <c r="D170" s="86"/>
      <c r="E170" s="78"/>
      <c r="F170" s="66"/>
      <c r="G170" s="91"/>
    </row>
    <row r="171" spans="1:7" ht="12" hidden="1" customHeight="1" x14ac:dyDescent="0.2">
      <c r="A171" s="143"/>
      <c r="B171" s="144"/>
      <c r="C171" s="86"/>
      <c r="D171" s="86"/>
      <c r="E171" s="78"/>
      <c r="F171" s="66"/>
      <c r="G171" s="91"/>
    </row>
    <row r="172" spans="1:7" ht="12" hidden="1" customHeight="1" x14ac:dyDescent="0.2">
      <c r="A172" s="143"/>
      <c r="B172" s="144"/>
      <c r="C172" s="86"/>
      <c r="D172" s="86"/>
      <c r="E172" s="78"/>
      <c r="F172" s="66"/>
      <c r="G172" s="91"/>
    </row>
    <row r="173" spans="1:7" ht="12" hidden="1" customHeight="1" x14ac:dyDescent="0.2">
      <c r="A173" s="143"/>
      <c r="B173" s="144"/>
      <c r="C173" s="86"/>
      <c r="D173" s="86"/>
      <c r="E173" s="78"/>
      <c r="F173" s="66"/>
      <c r="G173" s="91"/>
    </row>
    <row r="174" spans="1:7" ht="12" hidden="1" customHeight="1" x14ac:dyDescent="0.2">
      <c r="A174" s="143"/>
      <c r="B174" s="144"/>
      <c r="C174" s="86"/>
      <c r="D174" s="86"/>
      <c r="E174" s="78"/>
      <c r="F174" s="66"/>
      <c r="G174" s="91"/>
    </row>
    <row r="175" spans="1:7" ht="12" hidden="1" customHeight="1" x14ac:dyDescent="0.2">
      <c r="A175" s="143"/>
      <c r="B175" s="144"/>
      <c r="C175" s="86"/>
      <c r="D175" s="86"/>
      <c r="E175" s="78"/>
      <c r="F175" s="66"/>
      <c r="G175" s="91"/>
    </row>
    <row r="176" spans="1:7" ht="12" hidden="1" customHeight="1" x14ac:dyDescent="0.2">
      <c r="A176" s="143"/>
      <c r="B176" s="144"/>
      <c r="C176" s="86"/>
      <c r="D176" s="86"/>
      <c r="E176" s="78"/>
      <c r="F176" s="66"/>
      <c r="G176" s="91"/>
    </row>
    <row r="177" spans="1:7" ht="12" hidden="1" customHeight="1" x14ac:dyDescent="0.2">
      <c r="A177" s="143"/>
      <c r="B177" s="144"/>
      <c r="C177" s="86"/>
      <c r="D177" s="86"/>
      <c r="E177" s="78"/>
      <c r="F177" s="66"/>
      <c r="G177" s="91"/>
    </row>
    <row r="178" spans="1:7" ht="12" hidden="1" customHeight="1" x14ac:dyDescent="0.2">
      <c r="A178" s="143"/>
      <c r="B178" s="144"/>
      <c r="C178" s="86"/>
      <c r="D178" s="86"/>
      <c r="E178" s="78"/>
      <c r="F178" s="66"/>
      <c r="G178" s="91"/>
    </row>
    <row r="179" spans="1:7" ht="12" hidden="1" customHeight="1" x14ac:dyDescent="0.2">
      <c r="A179" s="143"/>
      <c r="B179" s="144"/>
      <c r="C179" s="86"/>
      <c r="D179" s="86"/>
      <c r="E179" s="78"/>
      <c r="F179" s="66"/>
      <c r="G179" s="91"/>
    </row>
    <row r="180" spans="1:7" ht="12" hidden="1" customHeight="1" x14ac:dyDescent="0.2">
      <c r="A180" s="143"/>
      <c r="B180" s="144"/>
      <c r="C180" s="86"/>
      <c r="D180" s="86"/>
      <c r="E180" s="78"/>
      <c r="F180" s="66"/>
      <c r="G180" s="91"/>
    </row>
    <row r="181" spans="1:7" ht="12" hidden="1" customHeight="1" x14ac:dyDescent="0.2">
      <c r="A181" s="143"/>
      <c r="B181" s="144"/>
      <c r="C181" s="86"/>
      <c r="D181" s="86"/>
      <c r="E181" s="78"/>
      <c r="F181" s="66"/>
      <c r="G181" s="91"/>
    </row>
    <row r="182" spans="1:7" ht="12" hidden="1" customHeight="1" x14ac:dyDescent="0.2">
      <c r="A182" s="143"/>
      <c r="B182" s="144"/>
      <c r="C182" s="86"/>
      <c r="D182" s="86"/>
      <c r="E182" s="78"/>
      <c r="F182" s="66"/>
      <c r="G182" s="91"/>
    </row>
    <row r="183" spans="1:7" ht="12" hidden="1" customHeight="1" x14ac:dyDescent="0.2">
      <c r="A183" s="143"/>
      <c r="B183" s="144"/>
      <c r="C183" s="86"/>
      <c r="D183" s="86"/>
      <c r="E183" s="78"/>
      <c r="F183" s="66"/>
      <c r="G183" s="91"/>
    </row>
    <row r="184" spans="1:7" ht="12" hidden="1" customHeight="1" x14ac:dyDescent="0.2">
      <c r="A184" s="143"/>
      <c r="B184" s="144"/>
      <c r="C184" s="86"/>
      <c r="D184" s="86"/>
      <c r="E184" s="78"/>
      <c r="F184" s="66"/>
      <c r="G184" s="91"/>
    </row>
    <row r="185" spans="1:7" ht="12" hidden="1" customHeight="1" x14ac:dyDescent="0.2">
      <c r="A185" s="143"/>
      <c r="B185" s="144"/>
      <c r="C185" s="86"/>
      <c r="D185" s="86"/>
      <c r="E185" s="78"/>
      <c r="F185" s="66"/>
      <c r="G185" s="91"/>
    </row>
    <row r="186" spans="1:7" ht="12" hidden="1" customHeight="1" x14ac:dyDescent="0.2">
      <c r="A186" s="143"/>
      <c r="B186" s="144"/>
      <c r="C186" s="86"/>
      <c r="D186" s="86"/>
      <c r="E186" s="78"/>
      <c r="F186" s="66"/>
      <c r="G186" s="91"/>
    </row>
    <row r="187" spans="1:7" ht="23.25" customHeight="1" x14ac:dyDescent="0.2">
      <c r="A187" s="145"/>
      <c r="B187" s="146"/>
      <c r="C187" s="138" t="s">
        <v>212</v>
      </c>
      <c r="D187" s="139"/>
      <c r="E187" s="139"/>
      <c r="F187" s="140"/>
      <c r="G187" s="91">
        <f>SUM(G135,G106)</f>
        <v>0</v>
      </c>
    </row>
    <row r="188" spans="1:7" ht="30.75" customHeight="1" x14ac:dyDescent="0.2">
      <c r="A188" s="10" t="s">
        <v>255</v>
      </c>
      <c r="B188" s="115" t="s">
        <v>268</v>
      </c>
      <c r="C188" s="115"/>
      <c r="D188" s="115"/>
      <c r="E188" s="115"/>
      <c r="F188" s="115"/>
      <c r="G188" s="115"/>
    </row>
    <row r="189" spans="1:7" x14ac:dyDescent="0.2">
      <c r="E189" s="65"/>
      <c r="F189" s="66"/>
    </row>
    <row r="190" spans="1:7" ht="18.75" customHeight="1" x14ac:dyDescent="0.2">
      <c r="A190" s="1"/>
      <c r="B190" s="45" t="s">
        <v>215</v>
      </c>
      <c r="C190" s="1"/>
      <c r="D190" s="40"/>
      <c r="E190" s="66" t="s">
        <v>213</v>
      </c>
      <c r="F190" s="66"/>
    </row>
    <row r="191" spans="1:7" ht="27.75" customHeight="1" x14ac:dyDescent="0.2">
      <c r="A191" s="40"/>
      <c r="B191" s="40"/>
      <c r="C191" s="1"/>
      <c r="D191" s="116" t="s">
        <v>214</v>
      </c>
      <c r="E191" s="116"/>
      <c r="F191" s="116"/>
    </row>
    <row r="192" spans="1:7" x14ac:dyDescent="0.2">
      <c r="A192" s="40"/>
      <c r="B192" s="40"/>
      <c r="C192" s="1"/>
      <c r="D192" s="40"/>
      <c r="E192" s="66"/>
      <c r="F192" s="66"/>
    </row>
    <row r="193" spans="5:6" x14ac:dyDescent="0.2">
      <c r="E193" s="65"/>
      <c r="F193" s="66"/>
    </row>
    <row r="194" spans="5:6" x14ac:dyDescent="0.2">
      <c r="E194" s="65"/>
      <c r="F194" s="66"/>
    </row>
    <row r="195" spans="5:6" x14ac:dyDescent="0.2">
      <c r="E195" s="65"/>
      <c r="F195" s="66"/>
    </row>
    <row r="196" spans="5:6" x14ac:dyDescent="0.2">
      <c r="E196" s="65"/>
      <c r="F196" s="66"/>
    </row>
    <row r="197" spans="5:6" x14ac:dyDescent="0.2">
      <c r="E197" s="65"/>
      <c r="F197" s="66"/>
    </row>
    <row r="198" spans="5:6" x14ac:dyDescent="0.2">
      <c r="E198" s="65"/>
      <c r="F198" s="66"/>
    </row>
    <row r="199" spans="5:6" x14ac:dyDescent="0.2">
      <c r="E199" s="65"/>
      <c r="F199" s="66"/>
    </row>
    <row r="200" spans="5:6" x14ac:dyDescent="0.2">
      <c r="E200" s="65"/>
      <c r="F200" s="66"/>
    </row>
    <row r="201" spans="5:6" x14ac:dyDescent="0.2">
      <c r="E201" s="65"/>
      <c r="F201" s="66"/>
    </row>
    <row r="202" spans="5:6" x14ac:dyDescent="0.2">
      <c r="E202" s="65"/>
      <c r="F202" s="66"/>
    </row>
    <row r="203" spans="5:6" x14ac:dyDescent="0.2">
      <c r="E203" s="65"/>
      <c r="F203" s="66"/>
    </row>
    <row r="204" spans="5:6" x14ac:dyDescent="0.2">
      <c r="E204" s="65"/>
      <c r="F204" s="66"/>
    </row>
    <row r="205" spans="5:6" x14ac:dyDescent="0.2">
      <c r="E205" s="65"/>
      <c r="F205" s="66"/>
    </row>
    <row r="206" spans="5:6" x14ac:dyDescent="0.2">
      <c r="E206" s="65"/>
      <c r="F206" s="66"/>
    </row>
    <row r="207" spans="5:6" x14ac:dyDescent="0.2">
      <c r="E207" s="65"/>
      <c r="F207" s="66"/>
    </row>
    <row r="208" spans="5:6" x14ac:dyDescent="0.2">
      <c r="E208" s="65"/>
      <c r="F208" s="66"/>
    </row>
    <row r="209" spans="5:6" x14ac:dyDescent="0.2">
      <c r="E209" s="65"/>
      <c r="F209" s="66"/>
    </row>
    <row r="210" spans="5:6" x14ac:dyDescent="0.2">
      <c r="E210" s="65"/>
      <c r="F210" s="66"/>
    </row>
    <row r="211" spans="5:6" x14ac:dyDescent="0.2">
      <c r="E211" s="65"/>
      <c r="F211" s="66"/>
    </row>
    <row r="212" spans="5:6" x14ac:dyDescent="0.2">
      <c r="E212" s="65"/>
      <c r="F212" s="66"/>
    </row>
    <row r="213" spans="5:6" x14ac:dyDescent="0.2">
      <c r="E213" s="65"/>
      <c r="F213" s="66"/>
    </row>
    <row r="214" spans="5:6" x14ac:dyDescent="0.2">
      <c r="E214" s="65"/>
      <c r="F214" s="66"/>
    </row>
    <row r="215" spans="5:6" x14ac:dyDescent="0.2">
      <c r="E215" s="65"/>
      <c r="F215" s="66"/>
    </row>
    <row r="216" spans="5:6" x14ac:dyDescent="0.2">
      <c r="E216" s="65"/>
      <c r="F216" s="66"/>
    </row>
    <row r="217" spans="5:6" x14ac:dyDescent="0.2">
      <c r="E217" s="65"/>
      <c r="F217" s="66"/>
    </row>
    <row r="218" spans="5:6" x14ac:dyDescent="0.2">
      <c r="E218" s="65"/>
      <c r="F218" s="66"/>
    </row>
    <row r="219" spans="5:6" x14ac:dyDescent="0.2">
      <c r="E219" s="65"/>
      <c r="F219" s="66"/>
    </row>
    <row r="220" spans="5:6" x14ac:dyDescent="0.2">
      <c r="E220" s="65"/>
      <c r="F220" s="66"/>
    </row>
    <row r="221" spans="5:6" x14ac:dyDescent="0.2">
      <c r="E221" s="65"/>
      <c r="F221" s="66"/>
    </row>
    <row r="222" spans="5:6" x14ac:dyDescent="0.2">
      <c r="E222" s="65"/>
      <c r="F222" s="66"/>
    </row>
    <row r="223" spans="5:6" x14ac:dyDescent="0.2">
      <c r="E223" s="65"/>
      <c r="F223" s="66"/>
    </row>
    <row r="224" spans="5:6" x14ac:dyDescent="0.2">
      <c r="E224" s="65"/>
      <c r="F224" s="66"/>
    </row>
    <row r="225" spans="5:6" x14ac:dyDescent="0.2">
      <c r="E225" s="65"/>
      <c r="F225" s="66"/>
    </row>
    <row r="226" spans="5:6" x14ac:dyDescent="0.2">
      <c r="E226" s="65"/>
      <c r="F226" s="66"/>
    </row>
    <row r="227" spans="5:6" x14ac:dyDescent="0.2">
      <c r="E227" s="65"/>
      <c r="F227" s="66"/>
    </row>
    <row r="228" spans="5:6" x14ac:dyDescent="0.2">
      <c r="E228" s="65"/>
      <c r="F228" s="66"/>
    </row>
    <row r="229" spans="5:6" x14ac:dyDescent="0.2">
      <c r="E229" s="65"/>
      <c r="F229" s="66"/>
    </row>
    <row r="230" spans="5:6" x14ac:dyDescent="0.2">
      <c r="E230" s="65"/>
      <c r="F230" s="66"/>
    </row>
    <row r="231" spans="5:6" x14ac:dyDescent="0.2">
      <c r="E231" s="65"/>
      <c r="F231" s="66"/>
    </row>
    <row r="232" spans="5:6" x14ac:dyDescent="0.2">
      <c r="E232" s="65"/>
      <c r="F232" s="66"/>
    </row>
    <row r="233" spans="5:6" x14ac:dyDescent="0.2">
      <c r="E233" s="65"/>
      <c r="F233" s="66"/>
    </row>
    <row r="234" spans="5:6" x14ac:dyDescent="0.2">
      <c r="E234" s="65"/>
      <c r="F234" s="66"/>
    </row>
    <row r="235" spans="5:6" x14ac:dyDescent="0.2">
      <c r="E235" s="65"/>
      <c r="F235" s="66"/>
    </row>
    <row r="236" spans="5:6" x14ac:dyDescent="0.2">
      <c r="E236" s="65"/>
      <c r="F236" s="66"/>
    </row>
    <row r="237" spans="5:6" x14ac:dyDescent="0.2">
      <c r="E237" s="65"/>
      <c r="F237" s="66"/>
    </row>
    <row r="238" spans="5:6" x14ac:dyDescent="0.2">
      <c r="E238" s="65"/>
      <c r="F238" s="66"/>
    </row>
    <row r="239" spans="5:6" x14ac:dyDescent="0.2">
      <c r="E239" s="65"/>
      <c r="F239" s="66"/>
    </row>
    <row r="240" spans="5:6" x14ac:dyDescent="0.2">
      <c r="E240" s="65"/>
      <c r="F240" s="66"/>
    </row>
    <row r="241" spans="5:6" x14ac:dyDescent="0.2">
      <c r="E241" s="65"/>
      <c r="F241" s="66"/>
    </row>
    <row r="242" spans="5:6" x14ac:dyDescent="0.2">
      <c r="E242" s="65"/>
      <c r="F242" s="66"/>
    </row>
    <row r="243" spans="5:6" x14ac:dyDescent="0.2">
      <c r="E243" s="65"/>
      <c r="F243" s="66"/>
    </row>
    <row r="244" spans="5:6" x14ac:dyDescent="0.2">
      <c r="E244" s="65"/>
      <c r="F244" s="66"/>
    </row>
    <row r="245" spans="5:6" x14ac:dyDescent="0.2">
      <c r="E245" s="65"/>
      <c r="F245" s="66"/>
    </row>
    <row r="246" spans="5:6" x14ac:dyDescent="0.2">
      <c r="E246" s="65"/>
      <c r="F246" s="66"/>
    </row>
    <row r="247" spans="5:6" x14ac:dyDescent="0.2">
      <c r="E247" s="65"/>
      <c r="F247" s="66"/>
    </row>
    <row r="248" spans="5:6" x14ac:dyDescent="0.2">
      <c r="E248" s="65"/>
      <c r="F248" s="66"/>
    </row>
    <row r="249" spans="5:6" x14ac:dyDescent="0.2">
      <c r="E249" s="65"/>
      <c r="F249" s="66"/>
    </row>
    <row r="250" spans="5:6" x14ac:dyDescent="0.2">
      <c r="E250" s="65"/>
      <c r="F250" s="66"/>
    </row>
    <row r="251" spans="5:6" x14ac:dyDescent="0.2">
      <c r="E251" s="65"/>
      <c r="F251" s="66"/>
    </row>
    <row r="252" spans="5:6" x14ac:dyDescent="0.2">
      <c r="E252" s="65"/>
      <c r="F252" s="66"/>
    </row>
    <row r="253" spans="5:6" x14ac:dyDescent="0.2">
      <c r="E253" s="65"/>
      <c r="F253" s="66"/>
    </row>
    <row r="254" spans="5:6" x14ac:dyDescent="0.2">
      <c r="E254" s="65"/>
      <c r="F254" s="66"/>
    </row>
    <row r="255" spans="5:6" x14ac:dyDescent="0.2">
      <c r="E255" s="65"/>
      <c r="F255" s="66"/>
    </row>
    <row r="256" spans="5:6" x14ac:dyDescent="0.2">
      <c r="E256" s="65"/>
      <c r="F256" s="66"/>
    </row>
    <row r="257" spans="5:6" x14ac:dyDescent="0.2">
      <c r="E257" s="65"/>
      <c r="F257" s="66"/>
    </row>
    <row r="258" spans="5:6" x14ac:dyDescent="0.2">
      <c r="E258" s="65"/>
      <c r="F258" s="66"/>
    </row>
    <row r="259" spans="5:6" x14ac:dyDescent="0.2">
      <c r="E259" s="65"/>
      <c r="F259" s="66"/>
    </row>
    <row r="260" spans="5:6" x14ac:dyDescent="0.2">
      <c r="E260" s="65"/>
      <c r="F260" s="66"/>
    </row>
    <row r="261" spans="5:6" x14ac:dyDescent="0.2">
      <c r="E261" s="65"/>
      <c r="F261" s="66"/>
    </row>
    <row r="262" spans="5:6" x14ac:dyDescent="0.2">
      <c r="E262" s="65"/>
      <c r="F262" s="66"/>
    </row>
    <row r="263" spans="5:6" x14ac:dyDescent="0.2">
      <c r="E263" s="65"/>
      <c r="F263" s="66"/>
    </row>
    <row r="264" spans="5:6" x14ac:dyDescent="0.2">
      <c r="E264" s="65"/>
      <c r="F264" s="66"/>
    </row>
    <row r="265" spans="5:6" x14ac:dyDescent="0.2">
      <c r="E265" s="65"/>
      <c r="F265" s="66"/>
    </row>
    <row r="266" spans="5:6" x14ac:dyDescent="0.2">
      <c r="E266" s="65"/>
      <c r="F266" s="66"/>
    </row>
    <row r="267" spans="5:6" x14ac:dyDescent="0.2">
      <c r="E267" s="65"/>
      <c r="F267" s="66"/>
    </row>
    <row r="268" spans="5:6" x14ac:dyDescent="0.2">
      <c r="E268" s="65"/>
      <c r="F268" s="66"/>
    </row>
    <row r="269" spans="5:6" x14ac:dyDescent="0.2">
      <c r="E269" s="65"/>
      <c r="F269" s="66"/>
    </row>
    <row r="270" spans="5:6" x14ac:dyDescent="0.2">
      <c r="E270" s="65"/>
      <c r="F270" s="66"/>
    </row>
    <row r="271" spans="5:6" x14ac:dyDescent="0.2">
      <c r="E271" s="65"/>
      <c r="F271" s="66"/>
    </row>
    <row r="272" spans="5:6" x14ac:dyDescent="0.2">
      <c r="E272" s="65"/>
      <c r="F272" s="66"/>
    </row>
    <row r="273" spans="5:5" x14ac:dyDescent="0.2">
      <c r="E273" s="65"/>
    </row>
    <row r="274" spans="5:5" x14ac:dyDescent="0.2">
      <c r="E274" s="65"/>
    </row>
    <row r="275" spans="5:5" x14ac:dyDescent="0.2">
      <c r="E275" s="65"/>
    </row>
  </sheetData>
  <mergeCells count="26">
    <mergeCell ref="F17:F19"/>
    <mergeCell ref="B12:F12"/>
    <mergeCell ref="C135:F135"/>
    <mergeCell ref="C187:F187"/>
    <mergeCell ref="A135:B187"/>
    <mergeCell ref="A106:B106"/>
    <mergeCell ref="C106:F106"/>
    <mergeCell ref="B15:G15"/>
    <mergeCell ref="G17:G19"/>
    <mergeCell ref="A16:E16"/>
    <mergeCell ref="B188:G188"/>
    <mergeCell ref="D191:F191"/>
    <mergeCell ref="A1:G1"/>
    <mergeCell ref="A107:E107"/>
    <mergeCell ref="B8:C8"/>
    <mergeCell ref="B9:C9"/>
    <mergeCell ref="B10:F10"/>
    <mergeCell ref="B11:C11"/>
    <mergeCell ref="B7:G7"/>
    <mergeCell ref="B13:C13"/>
    <mergeCell ref="A21:E21"/>
    <mergeCell ref="A17:A19"/>
    <mergeCell ref="B17:B19"/>
    <mergeCell ref="D17:D19"/>
    <mergeCell ref="E17:E19"/>
    <mergeCell ref="C17:C19"/>
  </mergeCells>
  <printOptions horizontalCentered="1"/>
  <pageMargins left="0.19685039370078741" right="0.23622047244094491" top="0.35433070866141736" bottom="0.59055118110236227" header="0.19685039370078741" footer="0.19685039370078741"/>
  <pageSetup paperSize="9" scale="93" firstPageNumber="12" orientation="portrait" useFirstPageNumber="1" r:id="rId1"/>
  <headerFooter alignWithMargins="0">
    <oddFooter>&amp;L&amp;"Calibri,Standardowy"&amp;8Przebudowa odcinka ulicy Kujawskiej (droga gminna nr 051038C) o dług. 447,0 m w Solcu Kujawskim&amp;R&amp;P/&amp;N]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ZZK</vt:lpstr>
      <vt:lpstr>ZZK!Obszar_wydruku</vt:lpstr>
      <vt:lpstr>ZZK!Tytuły_wydruku</vt:lpstr>
    </vt:vector>
  </TitlesOfParts>
  <Company>nelson compacny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Mikulska</dc:creator>
  <cp:lastModifiedBy>Dorota Gutowska</cp:lastModifiedBy>
  <cp:lastPrinted>2023-02-14T06:44:44Z</cp:lastPrinted>
  <dcterms:created xsi:type="dcterms:W3CDTF">2010-01-31T09:48:17Z</dcterms:created>
  <dcterms:modified xsi:type="dcterms:W3CDTF">2023-03-09T14:06:06Z</dcterms:modified>
</cp:coreProperties>
</file>