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A:\2024\18_2024_Zarządzanie+zastępstwo inwestycyjne_OTWARCIE_20-06-2024\Przygotowanie postępowania IRM\"/>
    </mc:Choice>
  </mc:AlternateContent>
  <xr:revisionPtr revIDLastSave="0" documentId="8_{5C62CA8E-3F9D-4D95-97D3-2E871D8165D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aj 20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" i="1" l="1"/>
  <c r="G22" i="1"/>
  <c r="F22" i="1"/>
  <c r="D22" i="1"/>
  <c r="I25" i="1"/>
  <c r="D25" i="1"/>
  <c r="I64" i="1" l="1"/>
  <c r="H64" i="1" s="1"/>
  <c r="G64" i="1"/>
  <c r="F64" i="1"/>
  <c r="D64" i="1"/>
  <c r="I10" i="1" l="1"/>
  <c r="I16" i="1" l="1"/>
  <c r="C29" i="1" l="1"/>
  <c r="G62" i="1"/>
  <c r="I62" i="1" s="1"/>
  <c r="H62" i="1" s="1"/>
  <c r="F62" i="1"/>
  <c r="D62" i="1"/>
  <c r="G60" i="1" l="1"/>
  <c r="I60" i="1" s="1"/>
  <c r="H60" i="1" s="1"/>
  <c r="F60" i="1"/>
  <c r="D60" i="1"/>
  <c r="G8" i="1" l="1"/>
  <c r="H27" i="1" l="1"/>
  <c r="J29" i="1" l="1"/>
  <c r="K29" i="1"/>
  <c r="P29" i="1"/>
  <c r="I14" i="1" l="1"/>
  <c r="I18" i="1"/>
  <c r="I17" i="1" l="1"/>
  <c r="D17" i="1"/>
  <c r="J58" i="1" l="1"/>
  <c r="I58" i="1"/>
  <c r="H58" i="1" s="1"/>
  <c r="I56" i="1" l="1"/>
  <c r="H56" i="1" s="1"/>
  <c r="G56" i="1"/>
  <c r="F56" i="1"/>
  <c r="D56" i="1"/>
  <c r="I19" i="1" l="1"/>
  <c r="I13" i="1" l="1"/>
  <c r="I8" i="1" l="1"/>
  <c r="I24" i="1" l="1"/>
  <c r="T8" i="1" l="1"/>
  <c r="G26" i="1" l="1"/>
  <c r="F26" i="1" l="1"/>
  <c r="F29" i="1" s="1"/>
  <c r="I9" i="1" l="1"/>
  <c r="I21" i="1" l="1"/>
  <c r="G53" i="1" l="1"/>
  <c r="I53" i="1" s="1"/>
  <c r="H53" i="1" s="1"/>
  <c r="F53" i="1"/>
  <c r="D53" i="1" s="1"/>
  <c r="I26" i="1" l="1"/>
  <c r="D13" i="1" l="1"/>
  <c r="I15" i="1" l="1"/>
  <c r="H17" i="1" l="1"/>
  <c r="H26" i="1"/>
  <c r="H13" i="1"/>
  <c r="H9" i="1"/>
  <c r="H8" i="1"/>
  <c r="H15" i="1"/>
  <c r="I12" i="1"/>
  <c r="H16" i="1"/>
  <c r="H24" i="1"/>
  <c r="H21" i="1"/>
  <c r="H22" i="1"/>
  <c r="G29" i="1"/>
  <c r="C33" i="1" s="1"/>
  <c r="T29" i="1"/>
  <c r="C36" i="1" s="1"/>
  <c r="L29" i="1"/>
  <c r="D18" i="1"/>
  <c r="D29" i="1" s="1"/>
  <c r="H19" i="1"/>
  <c r="C39" i="1"/>
  <c r="H25" i="1"/>
  <c r="H10" i="1"/>
  <c r="H11" i="1"/>
  <c r="H14" i="1"/>
  <c r="H18" i="1"/>
  <c r="H20" i="1"/>
  <c r="H28" i="1"/>
  <c r="M29" i="1"/>
  <c r="H23" i="1"/>
  <c r="H12" i="1" l="1"/>
  <c r="H29" i="1" s="1"/>
  <c r="I29" i="1"/>
  <c r="C35" i="1"/>
  <c r="C37" i="1" s="1"/>
  <c r="C38" i="1"/>
  <c r="C40" i="1" s="1"/>
  <c r="C32" i="1" l="1"/>
  <c r="C34" i="1" s="1"/>
</calcChain>
</file>

<file path=xl/sharedStrings.xml><?xml version="1.0" encoding="utf-8"?>
<sst xmlns="http://schemas.openxmlformats.org/spreadsheetml/2006/main" count="110" uniqueCount="105">
  <si>
    <t>Adres nieruchomości</t>
  </si>
  <si>
    <t>Numer działki</t>
  </si>
  <si>
    <t>Pow. działki</t>
  </si>
  <si>
    <t>Podstawa prawna</t>
  </si>
  <si>
    <t>posiadanie samoistne</t>
  </si>
  <si>
    <t>HIP 1171</t>
  </si>
  <si>
    <t>KW 9695</t>
  </si>
  <si>
    <t>PS NS 640/71</t>
  </si>
  <si>
    <t>REP A 5805/61</t>
  </si>
  <si>
    <t>KW859/57</t>
  </si>
  <si>
    <t>KW 11617</t>
  </si>
  <si>
    <t>HIP 22</t>
  </si>
  <si>
    <t>HIP 784</t>
  </si>
  <si>
    <t>KW 10142</t>
  </si>
  <si>
    <t>KW 865</t>
  </si>
  <si>
    <t>HIP 75</t>
  </si>
  <si>
    <t>ZD342/62</t>
  </si>
  <si>
    <t>HIP. 1274</t>
  </si>
  <si>
    <t>REP A 2082/63</t>
  </si>
  <si>
    <t>HIP 519A/132</t>
  </si>
  <si>
    <t>REP HIP 899</t>
  </si>
  <si>
    <t>PS NS 28/47</t>
  </si>
  <si>
    <t>RAZEM :</t>
  </si>
  <si>
    <t xml:space="preserve">  </t>
  </si>
  <si>
    <t>Stan pow.oczynszowanej-lokale mieszkalne</t>
  </si>
  <si>
    <t>lokale uż+garaże</t>
  </si>
  <si>
    <t>Ogółem pow.użytkowa</t>
  </si>
  <si>
    <r>
      <t>Pow. uż. lok. mieszk. oczynsz. (m</t>
    </r>
    <r>
      <rPr>
        <b/>
        <vertAlign val="superscript"/>
        <sz val="7"/>
        <rFont val="Arial CE"/>
        <charset val="238"/>
      </rPr>
      <t>2</t>
    </r>
    <r>
      <rPr>
        <b/>
        <sz val="7"/>
        <rFont val="Arial CE"/>
        <charset val="238"/>
      </rPr>
      <t>)</t>
    </r>
  </si>
  <si>
    <r>
      <t>Pow. uż. lok. użytk. (m</t>
    </r>
    <r>
      <rPr>
        <b/>
        <vertAlign val="superscript"/>
        <sz val="7"/>
        <rFont val="Arial CE"/>
        <charset val="238"/>
      </rPr>
      <t>2</t>
    </r>
    <r>
      <rPr>
        <b/>
        <sz val="7"/>
        <rFont val="Arial CE"/>
        <charset val="238"/>
      </rPr>
      <t>)</t>
    </r>
  </si>
  <si>
    <r>
      <t xml:space="preserve">  Pow.         garaży   (m</t>
    </r>
    <r>
      <rPr>
        <b/>
        <vertAlign val="superscript"/>
        <sz val="7"/>
        <rFont val="Arial CE"/>
        <charset val="238"/>
      </rPr>
      <t>2</t>
    </r>
    <r>
      <rPr>
        <b/>
        <sz val="7"/>
        <rFont val="Arial CE"/>
        <charset val="238"/>
      </rPr>
      <t>)</t>
    </r>
  </si>
  <si>
    <t>Lp.</t>
  </si>
  <si>
    <r>
      <t>Pow. użytkowa ogółem oczynszowana              (10+11) (m</t>
    </r>
    <r>
      <rPr>
        <b/>
        <vertAlign val="superscript"/>
        <sz val="7"/>
        <rFont val="Arial CE"/>
        <charset val="238"/>
      </rPr>
      <t>2</t>
    </r>
    <r>
      <rPr>
        <b/>
        <sz val="7"/>
        <rFont val="Arial CE"/>
        <charset val="238"/>
      </rPr>
      <t>)</t>
    </r>
  </si>
  <si>
    <t>pow.garaży wyłączonych</t>
  </si>
  <si>
    <t>1905   1918</t>
  </si>
  <si>
    <t>1920  1930</t>
  </si>
  <si>
    <t>1885   1900</t>
  </si>
  <si>
    <t>1859  1868</t>
  </si>
  <si>
    <t>Al.3-go Maja 10</t>
  </si>
  <si>
    <t>Cmentarna 3</t>
  </si>
  <si>
    <t>Jerozolimska 26</t>
  </si>
  <si>
    <t>Łódzka 6</t>
  </si>
  <si>
    <t>Mickiewicza 53</t>
  </si>
  <si>
    <t>Niecała  3</t>
  </si>
  <si>
    <t>Pereca 6</t>
  </si>
  <si>
    <t>POW 4</t>
  </si>
  <si>
    <t>Rzemieślnicza  2/4</t>
  </si>
  <si>
    <t>Rzeźnicza 16</t>
  </si>
  <si>
    <t>Sienkiewicza  4</t>
  </si>
  <si>
    <t>Słowackiego 41</t>
  </si>
  <si>
    <t>Słowackiego 64</t>
  </si>
  <si>
    <t xml:space="preserve">POW </t>
  </si>
  <si>
    <t>posiadane samoistne</t>
  </si>
  <si>
    <t>REP HIP 699</t>
  </si>
  <si>
    <t>REP A 296/44  KW 746</t>
  </si>
  <si>
    <t>nr inw</t>
  </si>
  <si>
    <t>1-20156</t>
  </si>
  <si>
    <t>1-17359N</t>
  </si>
  <si>
    <t>1-20157</t>
  </si>
  <si>
    <t>1-17N</t>
  </si>
  <si>
    <t>1-17360N</t>
  </si>
  <si>
    <t>1-20158   8-394ś</t>
  </si>
  <si>
    <t>lok uż</t>
  </si>
  <si>
    <t>wył.z uż.garaż+l.uż</t>
  </si>
  <si>
    <t>gaz w lokalu</t>
  </si>
  <si>
    <t>połączenie lokalu nr 2 i 8 w jeden</t>
  </si>
  <si>
    <t>Ilość budynków</t>
  </si>
  <si>
    <t>stan pow.mieszk. wyłączonej z użytk.</t>
  </si>
  <si>
    <t>Ogółem pow. mieszkalna</t>
  </si>
  <si>
    <t>1-go Maja 17a</t>
  </si>
  <si>
    <t>Wojska Polskiego 79</t>
  </si>
  <si>
    <t>Wojska Polskiego 72</t>
  </si>
  <si>
    <t>Wiejska 14</t>
  </si>
  <si>
    <t>Towarowa 16</t>
  </si>
  <si>
    <t>Szeroka 14</t>
  </si>
  <si>
    <t>Sulejowska 116</t>
  </si>
  <si>
    <t>Rycerska 6</t>
  </si>
  <si>
    <t>1-go Maja 11</t>
  </si>
  <si>
    <t>Mickiewicza 5</t>
  </si>
  <si>
    <t>Jerozolimska 56</t>
  </si>
  <si>
    <t>Al.3-go Maja 24A</t>
  </si>
  <si>
    <t>Ogółem</t>
  </si>
  <si>
    <t>liczba lok.mieszk. oczynsz.</t>
  </si>
  <si>
    <t>liczba lok.miesz.   wyłączonych z użytk.</t>
  </si>
  <si>
    <t>przeniesiona do umowy dzierżawy, a następnie w marcu 2021 r. do nieruchomości niezamieszkałych - załącznik Nr 2 umowy o zarządzanie</t>
  </si>
  <si>
    <t>Ilość lokali mieszk. oczynsz</t>
  </si>
  <si>
    <t>Ilość lok. mieszk. wył. z uż.</t>
  </si>
  <si>
    <t>Rok budowy</t>
  </si>
  <si>
    <t xml:space="preserve"> Nieruchomości pozostające w posiadaniu Miasta Piotrkowa Trybunalskiego</t>
  </si>
  <si>
    <t>Obręb</t>
  </si>
  <si>
    <t>Pow. mieszkal. wyłączona z uż.</t>
  </si>
  <si>
    <t>listopad 2021 r. - nieruchomość przeniesiona do załącznika Nr 1 jako nieruchomość niezamieszkała</t>
  </si>
  <si>
    <t xml:space="preserve">grudzień 2021 r. - nieruchomośc przeniesiona do umowy dzierżawy załącznik    Nr 2 współwłasność Miasta i innych osób </t>
  </si>
  <si>
    <t>Ilość garaży</t>
  </si>
  <si>
    <t>Ilość lok. uż.</t>
  </si>
  <si>
    <t>Wojska Polskiego 62</t>
  </si>
  <si>
    <t>PT1P/00050381/5</t>
  </si>
  <si>
    <t>lokal o pow. 17,35 był lokalem mieszklnym - aktualnie jest to pomieszcenie dla dozorcy</t>
  </si>
  <si>
    <r>
      <rPr>
        <b/>
        <sz val="10"/>
        <rFont val="Arial CE"/>
        <charset val="238"/>
      </rPr>
      <t>paźdz. 2022 r.</t>
    </r>
    <r>
      <rPr>
        <sz val="10"/>
        <rFont val="Arial CE"/>
        <charset val="238"/>
      </rPr>
      <t xml:space="preserve"> - nieruchomość przekazana Miastu</t>
    </r>
  </si>
  <si>
    <r>
      <rPr>
        <b/>
        <sz val="10"/>
        <rFont val="Arial CE"/>
        <charset val="238"/>
      </rPr>
      <t xml:space="preserve">listopad 2022 r. </t>
    </r>
    <r>
      <rPr>
        <sz val="10"/>
        <rFont val="Arial CE"/>
        <charset val="238"/>
      </rPr>
      <t>- nieruchomość przekazana Miastu</t>
    </r>
  </si>
  <si>
    <t>Narutowicza 67</t>
  </si>
  <si>
    <t>1890  1905   1910</t>
  </si>
  <si>
    <t>REP HIP 741</t>
  </si>
  <si>
    <r>
      <rPr>
        <b/>
        <sz val="10"/>
        <rFont val="Arial CE"/>
        <charset val="238"/>
      </rPr>
      <t xml:space="preserve">31.01.2023 r. </t>
    </r>
    <r>
      <rPr>
        <sz val="10"/>
        <rFont val="Arial CE"/>
        <charset val="238"/>
      </rPr>
      <t>- nieruchomość przekazana Miastu</t>
    </r>
  </si>
  <si>
    <r>
      <rPr>
        <b/>
        <sz val="10"/>
        <rFont val="Arial CE"/>
        <charset val="238"/>
      </rPr>
      <t>Załącznik Nr 1</t>
    </r>
    <r>
      <rPr>
        <sz val="10"/>
        <rFont val="Arial CE"/>
        <charset val="238"/>
      </rPr>
      <t xml:space="preserve"> do umowy         Nr 27/IGK/I/2024 z dnia                 08 stycznia 2024 r.</t>
    </r>
  </si>
  <si>
    <t>wg. stanu na dzień 31.05.2024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</si>
</sst>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E"/>
      <charset val="238"/>
    </font>
    <font>
      <sz val="14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7"/>
      <name val="Arial CE"/>
      <charset val="238"/>
    </font>
    <font>
      <sz val="9"/>
      <name val="Arial CE"/>
      <charset val="238"/>
    </font>
    <font>
      <b/>
      <vertAlign val="superscript"/>
      <sz val="7"/>
      <name val="Arial CE"/>
      <charset val="238"/>
    </font>
    <font>
      <sz val="7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1" fontId="1" fillId="0" borderId="0" xfId="0" applyNumberFormat="1" applyFont="1" applyAlignment="1">
      <alignment horizontal="center"/>
    </xf>
    <xf numFmtId="0" fontId="3" fillId="0" borderId="0" xfId="0" applyFont="1"/>
    <xf numFmtId="0" fontId="0" fillId="0" borderId="0" xfId="0" applyAlignment="1">
      <alignment horizontal="center"/>
    </xf>
    <xf numFmtId="4" fontId="0" fillId="0" borderId="0" xfId="0" applyNumberFormat="1"/>
    <xf numFmtId="0" fontId="0" fillId="0" borderId="0" xfId="0" quotePrefix="1" applyAlignment="1">
      <alignment horizontal="right"/>
    </xf>
    <xf numFmtId="1" fontId="0" fillId="0" borderId="0" xfId="0" quotePrefix="1" applyNumberFormat="1" applyAlignment="1">
      <alignment horizontal="right"/>
    </xf>
    <xf numFmtId="0" fontId="0" fillId="0" borderId="0" xfId="0" applyAlignment="1">
      <alignment horizontal="right"/>
    </xf>
    <xf numFmtId="3" fontId="0" fillId="0" borderId="0" xfId="0" applyNumberFormat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0" fillId="0" borderId="0" xfId="0" applyNumberFormat="1"/>
    <xf numFmtId="1" fontId="0" fillId="0" borderId="2" xfId="0" applyNumberFormat="1" applyBorder="1"/>
    <xf numFmtId="0" fontId="0" fillId="0" borderId="0" xfId="0" applyAlignment="1">
      <alignment wrapText="1"/>
    </xf>
    <xf numFmtId="0" fontId="4" fillId="2" borderId="2" xfId="0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4" fontId="0" fillId="2" borderId="2" xfId="0" applyNumberFormat="1" applyFill="1" applyBorder="1"/>
    <xf numFmtId="1" fontId="0" fillId="2" borderId="2" xfId="0" applyNumberFormat="1" applyFill="1" applyBorder="1"/>
    <xf numFmtId="0" fontId="9" fillId="0" borderId="0" xfId="0" applyFont="1"/>
    <xf numFmtId="0" fontId="0" fillId="0" borderId="2" xfId="0" applyBorder="1"/>
    <xf numFmtId="0" fontId="0" fillId="0" borderId="2" xfId="0" applyBorder="1" applyAlignment="1">
      <alignment horizontal="center"/>
    </xf>
    <xf numFmtId="4" fontId="0" fillId="0" borderId="2" xfId="0" quotePrefix="1" applyNumberFormat="1" applyBorder="1" applyAlignment="1">
      <alignment horizontal="right"/>
    </xf>
    <xf numFmtId="1" fontId="0" fillId="0" borderId="2" xfId="0" quotePrefix="1" applyNumberFormat="1" applyBorder="1" applyAlignment="1">
      <alignment horizontal="right"/>
    </xf>
    <xf numFmtId="0" fontId="0" fillId="0" borderId="2" xfId="0" applyBorder="1" applyAlignment="1">
      <alignment horizontal="right"/>
    </xf>
    <xf numFmtId="3" fontId="0" fillId="0" borderId="2" xfId="0" applyNumberFormat="1" applyBorder="1"/>
    <xf numFmtId="2" fontId="0" fillId="2" borderId="2" xfId="0" applyNumberFormat="1" applyFill="1" applyBorder="1"/>
    <xf numFmtId="1" fontId="8" fillId="2" borderId="2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vertical="top" wrapText="1"/>
    </xf>
    <xf numFmtId="0" fontId="9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2" borderId="0" xfId="0" applyFont="1" applyFill="1"/>
    <xf numFmtId="1" fontId="4" fillId="2" borderId="2" xfId="0" applyNumberFormat="1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/>
    </xf>
    <xf numFmtId="1" fontId="9" fillId="3" borderId="2" xfId="0" applyNumberFormat="1" applyFont="1" applyFill="1" applyBorder="1" applyAlignment="1">
      <alignment vertical="center"/>
    </xf>
    <xf numFmtId="1" fontId="9" fillId="3" borderId="2" xfId="0" applyNumberFormat="1" applyFont="1" applyFill="1" applyBorder="1" applyAlignment="1">
      <alignment vertical="center" wrapText="1"/>
    </xf>
    <xf numFmtId="1" fontId="9" fillId="3" borderId="1" xfId="0" applyNumberFormat="1" applyFont="1" applyFill="1" applyBorder="1" applyAlignment="1">
      <alignment vertical="center"/>
    </xf>
    <xf numFmtId="4" fontId="9" fillId="3" borderId="1" xfId="0" applyNumberFormat="1" applyFont="1" applyFill="1" applyBorder="1" applyAlignment="1">
      <alignment vertical="center"/>
    </xf>
    <xf numFmtId="4" fontId="9" fillId="3" borderId="2" xfId="0" applyNumberFormat="1" applyFont="1" applyFill="1" applyBorder="1" applyAlignment="1">
      <alignment vertical="center"/>
    </xf>
    <xf numFmtId="3" fontId="9" fillId="3" borderId="2" xfId="0" applyNumberFormat="1" applyFont="1" applyFill="1" applyBorder="1" applyAlignment="1">
      <alignment vertical="center"/>
    </xf>
    <xf numFmtId="0" fontId="0" fillId="3" borderId="2" xfId="0" applyFill="1" applyBorder="1" applyAlignment="1">
      <alignment vertical="center"/>
    </xf>
    <xf numFmtId="1" fontId="5" fillId="2" borderId="1" xfId="0" applyNumberFormat="1" applyFont="1" applyFill="1" applyBorder="1" applyAlignment="1">
      <alignment horizontal="right" vertical="center" wrapText="1"/>
    </xf>
    <xf numFmtId="0" fontId="5" fillId="0" borderId="2" xfId="0" applyFont="1" applyBorder="1" applyAlignment="1">
      <alignment horizontal="left"/>
    </xf>
    <xf numFmtId="0" fontId="5" fillId="0" borderId="2" xfId="0" applyFont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right" vertical="center" wrapText="1"/>
    </xf>
    <xf numFmtId="1" fontId="5" fillId="2" borderId="1" xfId="0" applyNumberFormat="1" applyFont="1" applyFill="1" applyBorder="1" applyAlignment="1">
      <alignment vertical="center"/>
    </xf>
    <xf numFmtId="2" fontId="5" fillId="2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4" fontId="5" fillId="2" borderId="2" xfId="0" applyNumberFormat="1" applyFont="1" applyFill="1" applyBorder="1" applyAlignment="1">
      <alignment vertical="center"/>
    </xf>
    <xf numFmtId="0" fontId="5" fillId="0" borderId="2" xfId="0" applyFont="1" applyBorder="1" applyAlignment="1">
      <alignment horizontal="right" vertical="center"/>
    </xf>
    <xf numFmtId="3" fontId="5" fillId="0" borderId="2" xfId="0" applyNumberFormat="1" applyFont="1" applyBorder="1" applyAlignment="1">
      <alignment vertical="center"/>
    </xf>
    <xf numFmtId="1" fontId="5" fillId="2" borderId="2" xfId="0" applyNumberFormat="1" applyFont="1" applyFill="1" applyBorder="1"/>
    <xf numFmtId="4" fontId="5" fillId="2" borderId="2" xfId="0" applyNumberFormat="1" applyFont="1" applyFill="1" applyBorder="1"/>
    <xf numFmtId="4" fontId="5" fillId="0" borderId="2" xfId="0" applyNumberFormat="1" applyFont="1" applyBorder="1" applyAlignment="1">
      <alignment horizontal="right"/>
    </xf>
    <xf numFmtId="1" fontId="5" fillId="0" borderId="2" xfId="0" applyNumberFormat="1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3" fontId="5" fillId="0" borderId="2" xfId="0" applyNumberFormat="1" applyFont="1" applyBorder="1"/>
    <xf numFmtId="4" fontId="5" fillId="0" borderId="2" xfId="0" quotePrefix="1" applyNumberFormat="1" applyFont="1" applyBorder="1" applyAlignment="1">
      <alignment horizontal="right" vertical="center"/>
    </xf>
    <xf numFmtId="1" fontId="5" fillId="0" borderId="2" xfId="0" quotePrefix="1" applyNumberFormat="1" applyFont="1" applyBorder="1" applyAlignment="1">
      <alignment horizontal="right" vertical="center"/>
    </xf>
    <xf numFmtId="0" fontId="5" fillId="2" borderId="2" xfId="0" applyFont="1" applyFill="1" applyBorder="1" applyAlignment="1">
      <alignment horizontal="center" vertical="center"/>
    </xf>
    <xf numFmtId="2" fontId="5" fillId="2" borderId="2" xfId="0" applyNumberFormat="1" applyFont="1" applyFill="1" applyBorder="1"/>
    <xf numFmtId="1" fontId="5" fillId="0" borderId="2" xfId="0" applyNumberFormat="1" applyFont="1" applyBorder="1" applyAlignment="1">
      <alignment horizontal="right" vertical="center" wrapText="1"/>
    </xf>
    <xf numFmtId="1" fontId="9" fillId="0" borderId="2" xfId="0" applyNumberFormat="1" applyFont="1" applyBorder="1"/>
    <xf numFmtId="0" fontId="0" fillId="2" borderId="0" xfId="0" applyFill="1"/>
    <xf numFmtId="4" fontId="0" fillId="2" borderId="0" xfId="0" applyNumberFormat="1" applyFill="1"/>
    <xf numFmtId="0" fontId="0" fillId="0" borderId="0" xfId="0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1" fontId="9" fillId="3" borderId="2" xfId="0" applyNumberFormat="1" applyFont="1" applyFill="1" applyBorder="1" applyAlignment="1">
      <alignment horizontal="center" vertical="center"/>
    </xf>
    <xf numFmtId="1" fontId="0" fillId="2" borderId="2" xfId="0" applyNumberFormat="1" applyFill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5" fillId="0" borderId="2" xfId="0" quotePrefix="1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5" fillId="2" borderId="2" xfId="0" quotePrefix="1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4" fontId="5" fillId="0" borderId="2" xfId="0" applyNumberFormat="1" applyFont="1" applyBorder="1" applyAlignment="1">
      <alignment horizontal="right" vertical="center"/>
    </xf>
    <xf numFmtId="1" fontId="5" fillId="0" borderId="2" xfId="0" applyNumberFormat="1" applyFont="1" applyBorder="1" applyAlignment="1">
      <alignment horizontal="right" vertical="center"/>
    </xf>
    <xf numFmtId="1" fontId="5" fillId="2" borderId="2" xfId="0" applyNumberFormat="1" applyFont="1" applyFill="1" applyBorder="1" applyAlignment="1">
      <alignment vertical="center"/>
    </xf>
    <xf numFmtId="2" fontId="5" fillId="2" borderId="2" xfId="0" applyNumberFormat="1" applyFont="1" applyFill="1" applyBorder="1" applyAlignment="1">
      <alignment vertical="center"/>
    </xf>
    <xf numFmtId="0" fontId="10" fillId="0" borderId="0" xfId="0" applyFont="1" applyAlignment="1">
      <alignment vertical="top" wrapText="1"/>
    </xf>
    <xf numFmtId="0" fontId="5" fillId="2" borderId="2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right" vertical="center"/>
    </xf>
    <xf numFmtId="3" fontId="5" fillId="2" borderId="2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4" fontId="5" fillId="0" borderId="1" xfId="0" applyNumberFormat="1" applyFont="1" applyBorder="1" applyAlignment="1">
      <alignment horizontal="right" vertical="center"/>
    </xf>
    <xf numFmtId="1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3" fontId="5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4" fontId="5" fillId="2" borderId="2" xfId="0" quotePrefix="1" applyNumberFormat="1" applyFont="1" applyFill="1" applyBorder="1" applyAlignment="1">
      <alignment horizontal="right" vertical="center"/>
    </xf>
    <xf numFmtId="1" fontId="5" fillId="2" borderId="2" xfId="0" quotePrefix="1" applyNumberFormat="1" applyFont="1" applyFill="1" applyBorder="1" applyAlignment="1">
      <alignment horizontal="right" vertical="center"/>
    </xf>
    <xf numFmtId="1" fontId="5" fillId="0" borderId="2" xfId="0" applyNumberFormat="1" applyFont="1" applyBorder="1" applyAlignment="1">
      <alignment vertical="center"/>
    </xf>
    <xf numFmtId="2" fontId="5" fillId="0" borderId="2" xfId="0" applyNumberFormat="1" applyFont="1" applyBorder="1" applyAlignment="1">
      <alignment vertical="center"/>
    </xf>
    <xf numFmtId="4" fontId="5" fillId="0" borderId="2" xfId="0" applyNumberFormat="1" applyFont="1" applyBorder="1" applyAlignment="1">
      <alignment vertical="center"/>
    </xf>
    <xf numFmtId="0" fontId="5" fillId="0" borderId="2" xfId="0" quotePrefix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5" fillId="0" borderId="3" xfId="0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 vertical="center"/>
    </xf>
    <xf numFmtId="1" fontId="5" fillId="2" borderId="2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" fontId="9" fillId="3" borderId="2" xfId="0" applyNumberFormat="1" applyFont="1" applyFill="1" applyBorder="1"/>
    <xf numFmtId="0" fontId="9" fillId="3" borderId="2" xfId="0" applyFont="1" applyFill="1" applyBorder="1"/>
    <xf numFmtId="1" fontId="4" fillId="2" borderId="4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" fontId="9" fillId="0" borderId="5" xfId="0" applyNumberFormat="1" applyFont="1" applyBorder="1"/>
    <xf numFmtId="0" fontId="9" fillId="0" borderId="6" xfId="0" applyFont="1" applyBorder="1"/>
    <xf numFmtId="0" fontId="9" fillId="0" borderId="7" xfId="0" applyFont="1" applyBorder="1"/>
    <xf numFmtId="4" fontId="0" fillId="0" borderId="2" xfId="0" applyNumberFormat="1" applyBorder="1"/>
    <xf numFmtId="0" fontId="0" fillId="0" borderId="2" xfId="0" applyBorder="1"/>
    <xf numFmtId="4" fontId="0" fillId="0" borderId="5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top" wrapText="1"/>
    </xf>
    <xf numFmtId="0" fontId="0" fillId="2" borderId="0" xfId="0" applyFill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4"/>
  <sheetViews>
    <sheetView tabSelected="1" zoomScaleNormal="100" workbookViewId="0">
      <selection activeCell="Y6" sqref="Y6"/>
    </sheetView>
  </sheetViews>
  <sheetFormatPr defaultRowHeight="12.75" x14ac:dyDescent="0.2"/>
  <cols>
    <col min="1" max="1" width="3.5703125" bestFit="1" customWidth="1"/>
    <col min="2" max="2" width="20" customWidth="1"/>
    <col min="3" max="3" width="4" customWidth="1"/>
    <col min="4" max="4" width="6.42578125" style="68" customWidth="1"/>
    <col min="5" max="5" width="6" style="18" customWidth="1"/>
    <col min="6" max="6" width="5.7109375" customWidth="1"/>
    <col min="7" max="7" width="8.42578125" customWidth="1"/>
    <col min="8" max="8" width="10.5703125" customWidth="1"/>
    <col min="9" max="9" width="10.140625" customWidth="1"/>
    <col min="10" max="10" width="7.7109375" customWidth="1"/>
    <col min="11" max="11" width="4.85546875" style="74" customWidth="1"/>
    <col min="12" max="12" width="5.85546875" customWidth="1"/>
    <col min="13" max="13" width="5.28515625" style="11" customWidth="1"/>
    <col min="14" max="14" width="5.140625" style="11" customWidth="1"/>
    <col min="15" max="15" width="9.140625" bestFit="1" customWidth="1"/>
    <col min="16" max="16" width="7.85546875" customWidth="1"/>
    <col min="17" max="17" width="25.140625" customWidth="1"/>
    <col min="19" max="19" width="12.7109375" customWidth="1"/>
  </cols>
  <sheetData>
    <row r="1" spans="1:22" ht="13.5" customHeight="1" x14ac:dyDescent="0.25"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"/>
      <c r="N1" s="1"/>
      <c r="Q1" s="109" t="s">
        <v>103</v>
      </c>
    </row>
    <row r="2" spans="1:22" ht="21.75" customHeight="1" x14ac:dyDescent="0.25">
      <c r="A2" s="110" t="s">
        <v>87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09"/>
    </row>
    <row r="3" spans="1:22" ht="14.25" customHeight="1" x14ac:dyDescent="0.25">
      <c r="A3" s="107"/>
      <c r="B3" s="107"/>
      <c r="C3" s="107"/>
      <c r="D3" s="107"/>
      <c r="E3" s="107"/>
      <c r="F3" s="120" t="s">
        <v>104</v>
      </c>
      <c r="G3" s="120"/>
      <c r="H3" s="120"/>
      <c r="I3" s="120"/>
      <c r="J3" s="120"/>
      <c r="K3" s="107"/>
      <c r="L3" s="107"/>
      <c r="M3" s="107"/>
      <c r="N3" s="107"/>
      <c r="O3" s="107"/>
      <c r="P3" s="107"/>
      <c r="Q3" s="106"/>
    </row>
    <row r="4" spans="1:22" ht="14.25" customHeight="1" x14ac:dyDescent="0.25">
      <c r="A4" s="2"/>
      <c r="C4" s="3"/>
      <c r="F4" s="3"/>
      <c r="G4" s="3"/>
      <c r="H4" s="4"/>
      <c r="I4" s="4"/>
      <c r="J4" s="4"/>
      <c r="L4" s="5"/>
      <c r="M4" s="6"/>
      <c r="N4" s="6"/>
      <c r="O4" s="7"/>
      <c r="P4" s="8"/>
    </row>
    <row r="5" spans="1:22" ht="24" customHeight="1" x14ac:dyDescent="0.2">
      <c r="A5" s="119" t="s">
        <v>30</v>
      </c>
      <c r="B5" s="115" t="s">
        <v>0</v>
      </c>
      <c r="C5" s="115" t="s">
        <v>65</v>
      </c>
      <c r="D5" s="113" t="s">
        <v>84</v>
      </c>
      <c r="E5" s="113" t="s">
        <v>86</v>
      </c>
      <c r="F5" s="113" t="s">
        <v>85</v>
      </c>
      <c r="G5" s="113" t="s">
        <v>89</v>
      </c>
      <c r="H5" s="115" t="s">
        <v>31</v>
      </c>
      <c r="I5" s="115" t="s">
        <v>27</v>
      </c>
      <c r="J5" s="115" t="s">
        <v>28</v>
      </c>
      <c r="K5" s="113" t="s">
        <v>93</v>
      </c>
      <c r="L5" s="115" t="s">
        <v>29</v>
      </c>
      <c r="M5" s="113" t="s">
        <v>92</v>
      </c>
      <c r="N5" s="113" t="s">
        <v>88</v>
      </c>
      <c r="O5" s="115" t="s">
        <v>1</v>
      </c>
      <c r="P5" s="115" t="s">
        <v>2</v>
      </c>
      <c r="Q5" s="117" t="s">
        <v>3</v>
      </c>
    </row>
    <row r="6" spans="1:22" ht="19.5" customHeight="1" x14ac:dyDescent="0.2">
      <c r="A6" s="119"/>
      <c r="B6" s="116"/>
      <c r="C6" s="116"/>
      <c r="D6" s="114"/>
      <c r="E6" s="114"/>
      <c r="F6" s="114"/>
      <c r="G6" s="114"/>
      <c r="H6" s="116"/>
      <c r="I6" s="116"/>
      <c r="J6" s="116"/>
      <c r="K6" s="114"/>
      <c r="L6" s="116"/>
      <c r="M6" s="114"/>
      <c r="N6" s="114"/>
      <c r="O6" s="116"/>
      <c r="P6" s="116"/>
      <c r="Q6" s="118"/>
      <c r="R6" t="s">
        <v>54</v>
      </c>
      <c r="T6" t="s">
        <v>32</v>
      </c>
    </row>
    <row r="7" spans="1:22" s="13" customFormat="1" x14ac:dyDescent="0.2">
      <c r="A7" s="17">
        <v>1</v>
      </c>
      <c r="B7" s="14">
        <v>2</v>
      </c>
      <c r="C7" s="14">
        <v>3</v>
      </c>
      <c r="D7" s="15">
        <v>4</v>
      </c>
      <c r="E7" s="34">
        <v>5</v>
      </c>
      <c r="F7" s="15">
        <v>8</v>
      </c>
      <c r="G7" s="15">
        <v>9</v>
      </c>
      <c r="H7" s="14">
        <v>10</v>
      </c>
      <c r="I7" s="14">
        <v>11</v>
      </c>
      <c r="J7" s="14">
        <v>12</v>
      </c>
      <c r="K7" s="15">
        <v>13</v>
      </c>
      <c r="L7" s="14">
        <v>14</v>
      </c>
      <c r="M7" s="15">
        <v>15</v>
      </c>
      <c r="N7" s="15">
        <v>16</v>
      </c>
      <c r="O7" s="14">
        <v>17</v>
      </c>
      <c r="P7" s="14">
        <v>18</v>
      </c>
      <c r="Q7" s="16">
        <v>19</v>
      </c>
    </row>
    <row r="8" spans="1:22" ht="21.95" customHeight="1" x14ac:dyDescent="0.2">
      <c r="A8" s="9">
        <v>1</v>
      </c>
      <c r="B8" s="89" t="s">
        <v>37</v>
      </c>
      <c r="C8" s="78">
        <v>2</v>
      </c>
      <c r="D8" s="69">
        <v>2</v>
      </c>
      <c r="E8" s="44">
        <v>1880</v>
      </c>
      <c r="F8" s="48">
        <v>28</v>
      </c>
      <c r="G8" s="49">
        <f>1359.27+29+37.59-20.65+55.2+0.02+25.81</f>
        <v>1486.2399999999998</v>
      </c>
      <c r="H8" s="50">
        <f t="shared" ref="H8:H17" si="0">I8+J8</f>
        <v>186.65000000000026</v>
      </c>
      <c r="I8" s="50">
        <f>1649.2-G8</f>
        <v>162.96000000000026</v>
      </c>
      <c r="J8" s="50">
        <v>23.69</v>
      </c>
      <c r="K8" s="69">
        <v>1</v>
      </c>
      <c r="L8" s="90"/>
      <c r="M8" s="91"/>
      <c r="N8" s="76">
        <v>21</v>
      </c>
      <c r="O8" s="92">
        <v>306</v>
      </c>
      <c r="P8" s="93">
        <v>2454</v>
      </c>
      <c r="Q8" s="52" t="s">
        <v>4</v>
      </c>
      <c r="S8">
        <v>2</v>
      </c>
      <c r="T8" s="21">
        <f>30.12+15+20.73</f>
        <v>65.850000000000009</v>
      </c>
      <c r="U8" s="21" t="s">
        <v>61</v>
      </c>
      <c r="V8" s="21"/>
    </row>
    <row r="9" spans="1:22" ht="21.95" customHeight="1" x14ac:dyDescent="0.2">
      <c r="A9" s="9">
        <v>2</v>
      </c>
      <c r="B9" s="89" t="s">
        <v>79</v>
      </c>
      <c r="C9" s="78">
        <v>2</v>
      </c>
      <c r="D9" s="69">
        <v>6</v>
      </c>
      <c r="E9" s="44">
        <v>1940</v>
      </c>
      <c r="F9" s="48"/>
      <c r="G9" s="49"/>
      <c r="H9" s="50">
        <f t="shared" si="0"/>
        <v>260.72000000000003</v>
      </c>
      <c r="I9" s="50">
        <f>255.42+5.26+0.04</f>
        <v>260.72000000000003</v>
      </c>
      <c r="J9" s="50"/>
      <c r="K9" s="69"/>
      <c r="L9" s="90"/>
      <c r="M9" s="91"/>
      <c r="N9" s="76">
        <v>21</v>
      </c>
      <c r="O9" s="92">
        <v>430</v>
      </c>
      <c r="P9" s="93">
        <v>461</v>
      </c>
      <c r="Q9" s="52" t="s">
        <v>5</v>
      </c>
      <c r="S9">
        <v>1</v>
      </c>
      <c r="T9" s="21">
        <v>22.09</v>
      </c>
      <c r="U9" s="21" t="s">
        <v>61</v>
      </c>
      <c r="V9" s="21"/>
    </row>
    <row r="10" spans="1:22" ht="21.95" customHeight="1" x14ac:dyDescent="0.2">
      <c r="A10" s="9">
        <v>3</v>
      </c>
      <c r="B10" s="80" t="s">
        <v>38</v>
      </c>
      <c r="C10" s="46">
        <v>2</v>
      </c>
      <c r="D10" s="70">
        <v>8</v>
      </c>
      <c r="E10" s="47" t="s">
        <v>33</v>
      </c>
      <c r="F10" s="48"/>
      <c r="G10" s="49"/>
      <c r="H10" s="50">
        <f t="shared" si="0"/>
        <v>249.73999999999998</v>
      </c>
      <c r="I10" s="51">
        <f>263.37-2.92-9.96-2.15-0.82+2.22</f>
        <v>249.73999999999998</v>
      </c>
      <c r="J10" s="51"/>
      <c r="K10" s="70"/>
      <c r="L10" s="60"/>
      <c r="M10" s="61"/>
      <c r="N10" s="75">
        <v>21</v>
      </c>
      <c r="O10" s="52">
        <v>5</v>
      </c>
      <c r="P10" s="53">
        <v>959</v>
      </c>
      <c r="Q10" s="52" t="s">
        <v>6</v>
      </c>
    </row>
    <row r="11" spans="1:22" ht="21.95" customHeight="1" x14ac:dyDescent="0.2">
      <c r="A11" s="9">
        <v>4</v>
      </c>
      <c r="B11" s="80" t="s">
        <v>39</v>
      </c>
      <c r="C11" s="46">
        <v>1</v>
      </c>
      <c r="D11" s="70">
        <v>6</v>
      </c>
      <c r="E11" s="47">
        <v>1890</v>
      </c>
      <c r="F11" s="48"/>
      <c r="G11" s="49"/>
      <c r="H11" s="50">
        <f t="shared" si="0"/>
        <v>313.32</v>
      </c>
      <c r="I11" s="51">
        <v>313.32</v>
      </c>
      <c r="J11" s="51"/>
      <c r="K11" s="70"/>
      <c r="L11" s="81">
        <v>15</v>
      </c>
      <c r="M11" s="82">
        <v>1</v>
      </c>
      <c r="N11" s="71">
        <v>21</v>
      </c>
      <c r="O11" s="52">
        <v>100</v>
      </c>
      <c r="P11" s="53">
        <v>350</v>
      </c>
      <c r="Q11" s="52" t="s">
        <v>7</v>
      </c>
    </row>
    <row r="12" spans="1:22" ht="21.95" customHeight="1" x14ac:dyDescent="0.2">
      <c r="A12" s="9">
        <v>5</v>
      </c>
      <c r="B12" s="80" t="s">
        <v>78</v>
      </c>
      <c r="C12" s="46">
        <v>1</v>
      </c>
      <c r="D12" s="70">
        <v>4</v>
      </c>
      <c r="E12" s="47">
        <v>1900</v>
      </c>
      <c r="F12" s="48">
        <v>1</v>
      </c>
      <c r="G12" s="49">
        <v>23.3</v>
      </c>
      <c r="H12" s="50">
        <f t="shared" si="0"/>
        <v>197.98</v>
      </c>
      <c r="I12" s="51">
        <f>223.04-23.3-1.76</f>
        <v>197.98</v>
      </c>
      <c r="J12" s="51"/>
      <c r="K12" s="70"/>
      <c r="L12" s="81"/>
      <c r="M12" s="82"/>
      <c r="N12" s="71">
        <v>15</v>
      </c>
      <c r="O12" s="52">
        <v>586</v>
      </c>
      <c r="P12" s="53">
        <v>413</v>
      </c>
      <c r="Q12" s="52" t="s">
        <v>8</v>
      </c>
    </row>
    <row r="13" spans="1:22" s="21" customFormat="1" ht="21.95" customHeight="1" x14ac:dyDescent="0.2">
      <c r="A13" s="9">
        <v>6</v>
      </c>
      <c r="B13" s="80" t="s">
        <v>40</v>
      </c>
      <c r="C13" s="46">
        <v>2</v>
      </c>
      <c r="D13" s="70">
        <f>16-F13-1</f>
        <v>14</v>
      </c>
      <c r="E13" s="47" t="s">
        <v>34</v>
      </c>
      <c r="F13" s="48">
        <v>1</v>
      </c>
      <c r="G13" s="49">
        <v>19.600000000000001</v>
      </c>
      <c r="H13" s="50">
        <f t="shared" si="0"/>
        <v>466.13999999999993</v>
      </c>
      <c r="I13" s="51">
        <f>485.94+0.14+0.06-19.6-1.04+0.64</f>
        <v>466.13999999999993</v>
      </c>
      <c r="J13" s="51"/>
      <c r="K13" s="70"/>
      <c r="L13" s="60"/>
      <c r="M13" s="61"/>
      <c r="N13" s="75">
        <v>14</v>
      </c>
      <c r="O13" s="52">
        <v>597</v>
      </c>
      <c r="P13" s="53">
        <v>1013</v>
      </c>
      <c r="Q13" s="52" t="s">
        <v>9</v>
      </c>
      <c r="S13" s="30" t="s">
        <v>64</v>
      </c>
    </row>
    <row r="14" spans="1:22" ht="21.95" customHeight="1" x14ac:dyDescent="0.2">
      <c r="A14" s="9">
        <v>7</v>
      </c>
      <c r="B14" s="80" t="s">
        <v>77</v>
      </c>
      <c r="C14" s="46">
        <v>1</v>
      </c>
      <c r="D14" s="70">
        <v>4</v>
      </c>
      <c r="E14" s="47">
        <v>1952</v>
      </c>
      <c r="F14" s="48"/>
      <c r="G14" s="49"/>
      <c r="H14" s="50">
        <f t="shared" si="0"/>
        <v>187.36</v>
      </c>
      <c r="I14" s="51">
        <f>187.3+2.94-2.88</f>
        <v>187.36</v>
      </c>
      <c r="J14" s="51"/>
      <c r="K14" s="70"/>
      <c r="L14" s="60"/>
      <c r="M14" s="61"/>
      <c r="N14" s="75">
        <v>15</v>
      </c>
      <c r="O14" s="52">
        <v>719</v>
      </c>
      <c r="P14" s="53">
        <v>367</v>
      </c>
      <c r="Q14" s="52" t="s">
        <v>10</v>
      </c>
    </row>
    <row r="15" spans="1:22" ht="21.95" customHeight="1" x14ac:dyDescent="0.2">
      <c r="A15" s="9">
        <v>8</v>
      </c>
      <c r="B15" s="80" t="s">
        <v>41</v>
      </c>
      <c r="C15" s="46">
        <v>1</v>
      </c>
      <c r="D15" s="70">
        <v>3</v>
      </c>
      <c r="E15" s="47">
        <v>1930</v>
      </c>
      <c r="F15" s="48">
        <v>1</v>
      </c>
      <c r="G15" s="49">
        <v>18.7</v>
      </c>
      <c r="H15" s="50">
        <f t="shared" si="0"/>
        <v>145.57000000000002</v>
      </c>
      <c r="I15" s="51">
        <f>164.83+2.03-2.59-G15</f>
        <v>145.57000000000002</v>
      </c>
      <c r="J15" s="51"/>
      <c r="K15" s="70"/>
      <c r="L15" s="60"/>
      <c r="M15" s="61"/>
      <c r="N15" s="75">
        <v>15</v>
      </c>
      <c r="O15" s="52">
        <v>155</v>
      </c>
      <c r="P15" s="53">
        <v>417</v>
      </c>
      <c r="Q15" s="52" t="s">
        <v>11</v>
      </c>
    </row>
    <row r="16" spans="1:22" ht="21.95" customHeight="1" x14ac:dyDescent="0.2">
      <c r="A16" s="9">
        <v>9</v>
      </c>
      <c r="B16" s="80" t="s">
        <v>42</v>
      </c>
      <c r="C16" s="46">
        <v>1</v>
      </c>
      <c r="D16" s="70">
        <v>4</v>
      </c>
      <c r="E16" s="47">
        <v>1926</v>
      </c>
      <c r="F16" s="48"/>
      <c r="G16" s="49"/>
      <c r="H16" s="50">
        <f t="shared" si="0"/>
        <v>140.16</v>
      </c>
      <c r="I16" s="51">
        <f>140.93-0.55-0.22</f>
        <v>140.16</v>
      </c>
      <c r="J16" s="51"/>
      <c r="K16" s="70"/>
      <c r="L16" s="81"/>
      <c r="M16" s="82"/>
      <c r="N16" s="71">
        <v>23</v>
      </c>
      <c r="O16" s="52">
        <v>61</v>
      </c>
      <c r="P16" s="102">
        <v>280</v>
      </c>
      <c r="Q16" s="52" t="s">
        <v>12</v>
      </c>
    </row>
    <row r="17" spans="1:21" ht="21.95" customHeight="1" x14ac:dyDescent="0.2">
      <c r="A17" s="9">
        <v>10</v>
      </c>
      <c r="B17" s="80" t="s">
        <v>76</v>
      </c>
      <c r="C17" s="46">
        <v>1</v>
      </c>
      <c r="D17" s="70">
        <f>12</f>
        <v>12</v>
      </c>
      <c r="E17" s="47">
        <v>1900</v>
      </c>
      <c r="F17" s="48"/>
      <c r="G17" s="49"/>
      <c r="H17" s="50">
        <f t="shared" si="0"/>
        <v>467.06000000000006</v>
      </c>
      <c r="I17" s="51">
        <f>470.97-0.19-0.25-3.82-1.33-0.06+1.74</f>
        <v>467.06000000000006</v>
      </c>
      <c r="J17" s="51"/>
      <c r="K17" s="70"/>
      <c r="L17" s="60"/>
      <c r="M17" s="61"/>
      <c r="N17" s="75">
        <v>14</v>
      </c>
      <c r="O17" s="52">
        <v>534</v>
      </c>
      <c r="P17" s="53">
        <v>2055</v>
      </c>
      <c r="Q17" s="52" t="s">
        <v>4</v>
      </c>
    </row>
    <row r="18" spans="1:21" ht="21.95" customHeight="1" x14ac:dyDescent="0.2">
      <c r="A18" s="9">
        <v>11</v>
      </c>
      <c r="B18" s="80" t="s">
        <v>44</v>
      </c>
      <c r="C18" s="46">
        <v>1</v>
      </c>
      <c r="D18" s="70">
        <f>10-F18</f>
        <v>9</v>
      </c>
      <c r="E18" s="47">
        <v>1914</v>
      </c>
      <c r="F18" s="48">
        <v>1</v>
      </c>
      <c r="G18" s="49">
        <v>9.9</v>
      </c>
      <c r="H18" s="50">
        <f t="shared" ref="H18:H28" si="1">I18+J18</f>
        <v>455.88</v>
      </c>
      <c r="I18" s="51">
        <f>465.08-0.24-8.65-0.31</f>
        <v>455.88</v>
      </c>
      <c r="J18" s="51"/>
      <c r="K18" s="70"/>
      <c r="L18" s="60"/>
      <c r="M18" s="61"/>
      <c r="N18" s="75">
        <v>22</v>
      </c>
      <c r="O18" s="52">
        <v>46</v>
      </c>
      <c r="P18" s="53">
        <v>388</v>
      </c>
      <c r="Q18" s="52" t="s">
        <v>14</v>
      </c>
      <c r="S18">
        <v>1</v>
      </c>
      <c r="T18">
        <v>15.19</v>
      </c>
    </row>
    <row r="19" spans="1:21" s="21" customFormat="1" ht="21.95" customHeight="1" x14ac:dyDescent="0.2">
      <c r="A19" s="9">
        <v>12</v>
      </c>
      <c r="B19" s="80" t="s">
        <v>75</v>
      </c>
      <c r="C19" s="46">
        <v>2</v>
      </c>
      <c r="D19" s="70">
        <v>15</v>
      </c>
      <c r="E19" s="47">
        <v>1880</v>
      </c>
      <c r="F19" s="48"/>
      <c r="G19" s="49"/>
      <c r="H19" s="50">
        <f t="shared" si="1"/>
        <v>689</v>
      </c>
      <c r="I19" s="51">
        <f>597.52+28.73-0.52</f>
        <v>625.73</v>
      </c>
      <c r="J19" s="51">
        <v>63.27</v>
      </c>
      <c r="K19" s="70">
        <v>2</v>
      </c>
      <c r="L19" s="81"/>
      <c r="M19" s="82"/>
      <c r="N19" s="71">
        <v>21</v>
      </c>
      <c r="O19" s="52">
        <v>58</v>
      </c>
      <c r="P19" s="53">
        <v>419</v>
      </c>
      <c r="Q19" s="52" t="s">
        <v>15</v>
      </c>
      <c r="S19">
        <v>1</v>
      </c>
      <c r="T19" s="4">
        <v>12</v>
      </c>
      <c r="U19" t="s">
        <v>50</v>
      </c>
    </row>
    <row r="20" spans="1:21" ht="21.95" customHeight="1" x14ac:dyDescent="0.2">
      <c r="A20" s="9">
        <v>13</v>
      </c>
      <c r="B20" s="80" t="s">
        <v>45</v>
      </c>
      <c r="C20" s="46">
        <v>1</v>
      </c>
      <c r="D20" s="70">
        <v>8</v>
      </c>
      <c r="E20" s="47">
        <v>1909</v>
      </c>
      <c r="F20" s="48"/>
      <c r="G20" s="49"/>
      <c r="H20" s="50">
        <f t="shared" si="1"/>
        <v>264.63</v>
      </c>
      <c r="I20" s="51">
        <v>264.63</v>
      </c>
      <c r="J20" s="51"/>
      <c r="K20" s="70"/>
      <c r="L20" s="60"/>
      <c r="M20" s="61"/>
      <c r="N20" s="75">
        <v>15</v>
      </c>
      <c r="O20" s="52">
        <v>591</v>
      </c>
      <c r="P20" s="53">
        <v>1386</v>
      </c>
      <c r="Q20" s="52" t="s">
        <v>16</v>
      </c>
    </row>
    <row r="21" spans="1:21" ht="21.95" customHeight="1" x14ac:dyDescent="0.2">
      <c r="A21" s="9">
        <v>14</v>
      </c>
      <c r="B21" s="80" t="s">
        <v>46</v>
      </c>
      <c r="C21" s="46">
        <v>1</v>
      </c>
      <c r="D21" s="70">
        <v>6</v>
      </c>
      <c r="E21" s="47">
        <v>1915</v>
      </c>
      <c r="F21" s="48"/>
      <c r="G21" s="49"/>
      <c r="H21" s="50">
        <f t="shared" si="1"/>
        <v>236.68999999999997</v>
      </c>
      <c r="I21" s="51">
        <f>232.32-7.05+11.42</f>
        <v>236.68999999999997</v>
      </c>
      <c r="J21" s="51"/>
      <c r="K21" s="70"/>
      <c r="L21" s="81"/>
      <c r="M21" s="82"/>
      <c r="N21" s="71">
        <v>34</v>
      </c>
      <c r="O21" s="52">
        <v>201</v>
      </c>
      <c r="P21" s="53">
        <v>1034</v>
      </c>
      <c r="Q21" s="52" t="s">
        <v>17</v>
      </c>
      <c r="R21" t="s">
        <v>55</v>
      </c>
    </row>
    <row r="22" spans="1:21" ht="21.95" customHeight="1" x14ac:dyDescent="0.2">
      <c r="A22" s="9">
        <v>15</v>
      </c>
      <c r="B22" s="80" t="s">
        <v>47</v>
      </c>
      <c r="C22" s="46">
        <v>2</v>
      </c>
      <c r="D22" s="70">
        <f>16-1-1</f>
        <v>14</v>
      </c>
      <c r="E22" s="47">
        <v>1944</v>
      </c>
      <c r="F22" s="83">
        <f>3+1+1</f>
        <v>5</v>
      </c>
      <c r="G22" s="84">
        <f>26.37+53.21+30.71+11.16</f>
        <v>121.44999999999999</v>
      </c>
      <c r="H22" s="51">
        <f t="shared" si="1"/>
        <v>693.61999999999989</v>
      </c>
      <c r="I22" s="51">
        <f>785.63-53.21+4.41-1.34-30.71-11.16</f>
        <v>693.61999999999989</v>
      </c>
      <c r="J22" s="51"/>
      <c r="K22" s="70"/>
      <c r="L22" s="81"/>
      <c r="M22" s="82"/>
      <c r="N22" s="71">
        <v>22</v>
      </c>
      <c r="O22" s="52">
        <v>100</v>
      </c>
      <c r="P22" s="53">
        <v>977</v>
      </c>
      <c r="Q22" s="52" t="s">
        <v>18</v>
      </c>
      <c r="R22" t="s">
        <v>56</v>
      </c>
    </row>
    <row r="23" spans="1:21" ht="21.95" customHeight="1" x14ac:dyDescent="0.2">
      <c r="A23" s="9">
        <v>16</v>
      </c>
      <c r="B23" s="94" t="s">
        <v>48</v>
      </c>
      <c r="C23" s="46">
        <v>2</v>
      </c>
      <c r="D23" s="70">
        <v>15</v>
      </c>
      <c r="E23" s="47">
        <v>1930</v>
      </c>
      <c r="F23" s="83"/>
      <c r="G23" s="84"/>
      <c r="H23" s="51">
        <f t="shared" si="1"/>
        <v>758.91</v>
      </c>
      <c r="I23" s="51">
        <v>728.91</v>
      </c>
      <c r="J23" s="51">
        <v>30</v>
      </c>
      <c r="K23" s="70">
        <v>2</v>
      </c>
      <c r="L23" s="60"/>
      <c r="M23" s="61"/>
      <c r="N23" s="75">
        <v>23</v>
      </c>
      <c r="O23" s="52">
        <v>122</v>
      </c>
      <c r="P23" s="53">
        <v>1548</v>
      </c>
      <c r="Q23" s="52" t="s">
        <v>19</v>
      </c>
      <c r="R23" t="s">
        <v>57</v>
      </c>
      <c r="S23" t="s">
        <v>63</v>
      </c>
    </row>
    <row r="24" spans="1:21" ht="21.95" customHeight="1" x14ac:dyDescent="0.2">
      <c r="A24" s="9">
        <v>17</v>
      </c>
      <c r="B24" s="80" t="s">
        <v>49</v>
      </c>
      <c r="C24" s="46">
        <v>2</v>
      </c>
      <c r="D24" s="70">
        <v>10</v>
      </c>
      <c r="E24" s="47">
        <v>1930</v>
      </c>
      <c r="F24" s="83"/>
      <c r="G24" s="84"/>
      <c r="H24" s="51">
        <f t="shared" si="1"/>
        <v>515.08000000000004</v>
      </c>
      <c r="I24" s="51">
        <f>431.43-0.85-0.4+0.11-0.65+1.29</f>
        <v>430.93000000000006</v>
      </c>
      <c r="J24" s="51">
        <v>84.15</v>
      </c>
      <c r="K24" s="70">
        <v>1</v>
      </c>
      <c r="L24" s="81"/>
      <c r="M24" s="82"/>
      <c r="N24" s="71">
        <v>23</v>
      </c>
      <c r="O24" s="52">
        <v>143</v>
      </c>
      <c r="P24" s="53">
        <v>1537</v>
      </c>
      <c r="Q24" s="52" t="s">
        <v>4</v>
      </c>
      <c r="R24" t="s">
        <v>60</v>
      </c>
    </row>
    <row r="25" spans="1:21" ht="21.95" customHeight="1" x14ac:dyDescent="0.2">
      <c r="A25" s="9">
        <v>18</v>
      </c>
      <c r="B25" s="80" t="s">
        <v>74</v>
      </c>
      <c r="C25" s="46">
        <v>1</v>
      </c>
      <c r="D25" s="70">
        <f>11-1</f>
        <v>10</v>
      </c>
      <c r="E25" s="47">
        <v>1901</v>
      </c>
      <c r="F25" s="83">
        <v>1</v>
      </c>
      <c r="G25" s="84">
        <v>18.239999999999998</v>
      </c>
      <c r="H25" s="51">
        <f t="shared" si="1"/>
        <v>251.14</v>
      </c>
      <c r="I25" s="51">
        <f>269.38-18.24</f>
        <v>251.14</v>
      </c>
      <c r="J25" s="51"/>
      <c r="K25" s="70"/>
      <c r="L25" s="60"/>
      <c r="M25" s="61"/>
      <c r="N25" s="75">
        <v>36</v>
      </c>
      <c r="O25" s="52">
        <v>30</v>
      </c>
      <c r="P25" s="53">
        <v>658</v>
      </c>
      <c r="Q25" s="52" t="s">
        <v>51</v>
      </c>
      <c r="R25" t="s">
        <v>58</v>
      </c>
    </row>
    <row r="26" spans="1:21" ht="21.95" customHeight="1" x14ac:dyDescent="0.2">
      <c r="A26" s="9">
        <v>19</v>
      </c>
      <c r="B26" s="80" t="s">
        <v>73</v>
      </c>
      <c r="C26" s="46">
        <v>1</v>
      </c>
      <c r="D26" s="70">
        <v>3</v>
      </c>
      <c r="E26" s="47">
        <v>1930</v>
      </c>
      <c r="F26" s="83">
        <f>3+1+1+1+1</f>
        <v>7</v>
      </c>
      <c r="G26" s="84">
        <f>28.51+33+25.92+43.95+22.64+29.15+26.9</f>
        <v>210.07</v>
      </c>
      <c r="H26" s="51">
        <f t="shared" si="1"/>
        <v>116.75999999999999</v>
      </c>
      <c r="I26" s="51">
        <f>326.83-G26</f>
        <v>116.75999999999999</v>
      </c>
      <c r="J26" s="51"/>
      <c r="K26" s="70"/>
      <c r="L26" s="81"/>
      <c r="M26" s="82"/>
      <c r="N26" s="71">
        <v>14</v>
      </c>
      <c r="O26" s="52">
        <v>571</v>
      </c>
      <c r="P26" s="53">
        <v>846</v>
      </c>
      <c r="Q26" s="52" t="s">
        <v>52</v>
      </c>
    </row>
    <row r="27" spans="1:21" s="66" customFormat="1" ht="21.95" customHeight="1" x14ac:dyDescent="0.2">
      <c r="A27" s="9">
        <v>20</v>
      </c>
      <c r="B27" s="86" t="s">
        <v>94</v>
      </c>
      <c r="C27" s="62">
        <v>2</v>
      </c>
      <c r="D27" s="70">
        <v>18</v>
      </c>
      <c r="E27" s="47">
        <v>1930</v>
      </c>
      <c r="F27" s="83">
        <v>1</v>
      </c>
      <c r="G27" s="84">
        <v>17.350000000000001</v>
      </c>
      <c r="H27" s="51">
        <f t="shared" si="1"/>
        <v>995.18999999999994</v>
      </c>
      <c r="I27" s="51">
        <v>751.8</v>
      </c>
      <c r="J27" s="51">
        <v>243.39</v>
      </c>
      <c r="K27" s="70">
        <v>5</v>
      </c>
      <c r="L27" s="95"/>
      <c r="M27" s="96"/>
      <c r="N27" s="77">
        <v>22</v>
      </c>
      <c r="O27" s="87">
        <v>45</v>
      </c>
      <c r="P27" s="88">
        <v>683</v>
      </c>
      <c r="Q27" s="87" t="s">
        <v>95</v>
      </c>
      <c r="R27" s="66" t="s">
        <v>96</v>
      </c>
      <c r="T27" s="67"/>
    </row>
    <row r="28" spans="1:21" ht="21.95" customHeight="1" x14ac:dyDescent="0.2">
      <c r="A28" s="9">
        <v>21</v>
      </c>
      <c r="B28" s="80" t="s">
        <v>70</v>
      </c>
      <c r="C28" s="46">
        <v>2</v>
      </c>
      <c r="D28" s="71">
        <v>14</v>
      </c>
      <c r="E28" s="64">
        <v>1903</v>
      </c>
      <c r="F28" s="97">
        <v>1</v>
      </c>
      <c r="G28" s="98">
        <v>40.15</v>
      </c>
      <c r="H28" s="99">
        <f t="shared" si="1"/>
        <v>823.1</v>
      </c>
      <c r="I28" s="99">
        <v>750.74</v>
      </c>
      <c r="J28" s="99">
        <v>72.36</v>
      </c>
      <c r="K28" s="71">
        <v>1</v>
      </c>
      <c r="L28" s="81"/>
      <c r="M28" s="82"/>
      <c r="N28" s="71">
        <v>23</v>
      </c>
      <c r="O28" s="52">
        <v>71</v>
      </c>
      <c r="P28" s="53">
        <v>698</v>
      </c>
      <c r="Q28" s="52" t="s">
        <v>20</v>
      </c>
      <c r="R28" t="s">
        <v>59</v>
      </c>
    </row>
    <row r="29" spans="1:21" ht="21.95" customHeight="1" x14ac:dyDescent="0.2">
      <c r="A29" s="10"/>
      <c r="B29" s="36" t="s">
        <v>22</v>
      </c>
      <c r="C29" s="36">
        <f>SUM(C8:C28)</f>
        <v>31</v>
      </c>
      <c r="D29" s="72">
        <f>SUM(D8:D28)</f>
        <v>185</v>
      </c>
      <c r="E29" s="38"/>
      <c r="F29" s="39">
        <f t="shared" ref="F29:M29" si="2">SUM(F8:F28)</f>
        <v>47</v>
      </c>
      <c r="G29" s="40">
        <f t="shared" si="2"/>
        <v>1964.9999999999998</v>
      </c>
      <c r="H29" s="40">
        <f t="shared" si="2"/>
        <v>8414.7000000000007</v>
      </c>
      <c r="I29" s="41">
        <f t="shared" si="2"/>
        <v>7897.8400000000011</v>
      </c>
      <c r="J29" s="41">
        <f t="shared" si="2"/>
        <v>516.86</v>
      </c>
      <c r="K29" s="72">
        <f t="shared" si="2"/>
        <v>12</v>
      </c>
      <c r="L29" s="41">
        <f t="shared" si="2"/>
        <v>15</v>
      </c>
      <c r="M29" s="37">
        <f t="shared" si="2"/>
        <v>1</v>
      </c>
      <c r="N29" s="37"/>
      <c r="O29" s="41"/>
      <c r="P29" s="42">
        <f>SUM(P8:P28)</f>
        <v>18943</v>
      </c>
      <c r="Q29" s="43"/>
      <c r="R29" s="4"/>
      <c r="T29">
        <f>SUM(T8:T28)</f>
        <v>115.13000000000001</v>
      </c>
    </row>
    <row r="30" spans="1:21" x14ac:dyDescent="0.2">
      <c r="I30" s="4"/>
      <c r="J30" s="4"/>
    </row>
    <row r="31" spans="1:21" x14ac:dyDescent="0.2">
      <c r="A31" t="s">
        <v>23</v>
      </c>
    </row>
    <row r="32" spans="1:21" ht="38.25" x14ac:dyDescent="0.2">
      <c r="B32" s="35" t="s">
        <v>24</v>
      </c>
      <c r="C32" s="111">
        <f>I29</f>
        <v>7897.8400000000011</v>
      </c>
      <c r="D32" s="112"/>
      <c r="E32" s="112"/>
    </row>
    <row r="33" spans="1:14" ht="31.5" customHeight="1" x14ac:dyDescent="0.2">
      <c r="B33" s="32" t="s">
        <v>66</v>
      </c>
      <c r="C33" s="124">
        <f>G29</f>
        <v>1964.9999999999998</v>
      </c>
      <c r="D33" s="124"/>
      <c r="E33" s="124"/>
    </row>
    <row r="34" spans="1:14" ht="25.5" x14ac:dyDescent="0.2">
      <c r="B34" s="35" t="s">
        <v>67</v>
      </c>
      <c r="C34" s="111">
        <f>C32+C33</f>
        <v>9862.84</v>
      </c>
      <c r="D34" s="112"/>
      <c r="E34" s="112"/>
    </row>
    <row r="35" spans="1:14" ht="13.5" customHeight="1" x14ac:dyDescent="0.2">
      <c r="B35" s="32" t="s">
        <v>25</v>
      </c>
      <c r="C35" s="124">
        <f>J29+L29</f>
        <v>531.86</v>
      </c>
      <c r="D35" s="125"/>
      <c r="E35" s="125"/>
    </row>
    <row r="36" spans="1:14" x14ac:dyDescent="0.2">
      <c r="B36" s="32" t="s">
        <v>62</v>
      </c>
      <c r="C36" s="126">
        <f>T29</f>
        <v>115.13000000000001</v>
      </c>
      <c r="D36" s="127"/>
      <c r="E36" s="128"/>
    </row>
    <row r="37" spans="1:14" ht="24" customHeight="1" x14ac:dyDescent="0.2">
      <c r="B37" s="31" t="s">
        <v>26</v>
      </c>
      <c r="C37" s="121">
        <f>SUM(C35:C36)</f>
        <v>646.99</v>
      </c>
      <c r="D37" s="122"/>
      <c r="E37" s="123"/>
    </row>
    <row r="38" spans="1:14" ht="24" customHeight="1" x14ac:dyDescent="0.2">
      <c r="B38" s="32" t="s">
        <v>81</v>
      </c>
      <c r="C38" s="12">
        <f>D29</f>
        <v>185</v>
      </c>
    </row>
    <row r="39" spans="1:14" ht="26.25" customHeight="1" x14ac:dyDescent="0.2">
      <c r="B39" s="32" t="s">
        <v>82</v>
      </c>
      <c r="C39" s="12">
        <f>F29</f>
        <v>47</v>
      </c>
    </row>
    <row r="40" spans="1:14" ht="15" customHeight="1" x14ac:dyDescent="0.2">
      <c r="B40" s="31" t="s">
        <v>80</v>
      </c>
      <c r="C40" s="65">
        <f>C38+C39</f>
        <v>232</v>
      </c>
    </row>
    <row r="41" spans="1:14" ht="12.75" customHeight="1" x14ac:dyDescent="0.2"/>
    <row r="42" spans="1:14" x14ac:dyDescent="0.2">
      <c r="K42" s="68"/>
      <c r="M42"/>
      <c r="N42"/>
    </row>
    <row r="43" spans="1:14" ht="59.25" customHeight="1" x14ac:dyDescent="0.2">
      <c r="K43" s="68"/>
      <c r="M43"/>
      <c r="N43"/>
    </row>
    <row r="44" spans="1:14" x14ac:dyDescent="0.2">
      <c r="K44" s="68"/>
      <c r="M44"/>
      <c r="N44"/>
    </row>
    <row r="45" spans="1:14" x14ac:dyDescent="0.2">
      <c r="K45" s="68"/>
      <c r="M45"/>
      <c r="N45"/>
    </row>
    <row r="46" spans="1:14" x14ac:dyDescent="0.2">
      <c r="A46" s="10"/>
    </row>
    <row r="47" spans="1:14" x14ac:dyDescent="0.2">
      <c r="A47" s="10"/>
    </row>
    <row r="52" spans="1:26" ht="14.25" customHeight="1" x14ac:dyDescent="0.2"/>
    <row r="53" spans="1:26" s="21" customFormat="1" ht="19.5" customHeight="1" x14ac:dyDescent="0.2">
      <c r="A53" s="79">
        <v>11</v>
      </c>
      <c r="B53" s="22" t="s">
        <v>43</v>
      </c>
      <c r="C53" s="23">
        <v>1</v>
      </c>
      <c r="D53" s="73">
        <f>9-F53</f>
        <v>5</v>
      </c>
      <c r="E53" s="29">
        <v>1900</v>
      </c>
      <c r="F53" s="20">
        <f>2+1+1</f>
        <v>4</v>
      </c>
      <c r="G53" s="28">
        <f>21+33.7+17.8+32.59</f>
        <v>105.09</v>
      </c>
      <c r="H53" s="19">
        <f t="shared" ref="H53" si="3">I53+J53</f>
        <v>158.93999999999997</v>
      </c>
      <c r="I53" s="19">
        <f>264.03-G53</f>
        <v>158.93999999999997</v>
      </c>
      <c r="J53" s="19"/>
      <c r="K53" s="73"/>
      <c r="L53" s="24"/>
      <c r="M53" s="25"/>
      <c r="N53" s="25">
        <v>21</v>
      </c>
      <c r="O53" s="26">
        <v>142</v>
      </c>
      <c r="P53" s="27">
        <v>229</v>
      </c>
      <c r="Q53" s="22" t="s">
        <v>4</v>
      </c>
      <c r="R53" s="132" t="s">
        <v>83</v>
      </c>
      <c r="S53" s="132"/>
      <c r="T53" s="132"/>
      <c r="U53" s="132"/>
      <c r="V53" s="132"/>
      <c r="W53" s="132"/>
      <c r="X53" s="132"/>
    </row>
    <row r="54" spans="1:26" x14ac:dyDescent="0.2">
      <c r="R54" s="132"/>
      <c r="S54" s="132"/>
      <c r="T54" s="132"/>
      <c r="U54" s="132"/>
      <c r="V54" s="132"/>
      <c r="W54" s="132"/>
      <c r="X54" s="132"/>
    </row>
    <row r="55" spans="1:26" x14ac:dyDescent="0.2">
      <c r="R55" s="85"/>
      <c r="S55" s="85"/>
      <c r="T55" s="85"/>
      <c r="U55" s="85"/>
      <c r="V55" s="85"/>
      <c r="W55" s="85"/>
      <c r="X55" s="85"/>
    </row>
    <row r="56" spans="1:26" s="21" customFormat="1" ht="24.75" customHeight="1" x14ac:dyDescent="0.2">
      <c r="A56" s="79">
        <v>12</v>
      </c>
      <c r="B56" s="80" t="s">
        <v>68</v>
      </c>
      <c r="C56" s="46">
        <v>2</v>
      </c>
      <c r="D56" s="70">
        <f>4-1-1-1</f>
        <v>1</v>
      </c>
      <c r="E56" s="47" t="s">
        <v>35</v>
      </c>
      <c r="F56" s="83">
        <f>6+1+1+1+1</f>
        <v>10</v>
      </c>
      <c r="G56" s="84">
        <f>124.6+34.66+38.84+38+37.98+38.22+39.73+38.89</f>
        <v>390.91999999999996</v>
      </c>
      <c r="H56" s="51">
        <f t="shared" ref="H56" si="4">I56+J56</f>
        <v>36.650000000000077</v>
      </c>
      <c r="I56" s="51">
        <f>302.97-34.66-38.84-38-37.98-38.22-39.73-38.89</f>
        <v>36.650000000000077</v>
      </c>
      <c r="J56" s="51"/>
      <c r="K56" s="70"/>
      <c r="L56" s="81"/>
      <c r="M56" s="82"/>
      <c r="N56" s="71">
        <v>14</v>
      </c>
      <c r="O56" s="52">
        <v>530</v>
      </c>
      <c r="P56" s="53">
        <v>1905</v>
      </c>
      <c r="Q56" s="52" t="s">
        <v>13</v>
      </c>
      <c r="R56" s="130" t="s">
        <v>90</v>
      </c>
      <c r="S56" s="131"/>
      <c r="T56" s="131"/>
      <c r="U56" s="131"/>
      <c r="V56" s="131"/>
      <c r="W56" s="131"/>
      <c r="X56" s="131"/>
    </row>
    <row r="58" spans="1:26" s="21" customFormat="1" ht="23.25" customHeight="1" x14ac:dyDescent="0.2">
      <c r="A58" s="9">
        <v>24</v>
      </c>
      <c r="B58" s="45" t="s">
        <v>69</v>
      </c>
      <c r="C58" s="46">
        <v>2</v>
      </c>
      <c r="D58" s="70">
        <v>11</v>
      </c>
      <c r="E58" s="47" t="s">
        <v>36</v>
      </c>
      <c r="F58" s="54"/>
      <c r="G58" s="63">
        <v>25.17</v>
      </c>
      <c r="H58" s="55">
        <f t="shared" ref="H58" si="5">I58+J58</f>
        <v>563.66999999999996</v>
      </c>
      <c r="I58" s="55">
        <f>530.51+0.11-25.17+3.15-2.03</f>
        <v>506.57</v>
      </c>
      <c r="J58" s="55">
        <f>56.99+0.11</f>
        <v>57.1</v>
      </c>
      <c r="K58" s="70">
        <v>2</v>
      </c>
      <c r="L58" s="56"/>
      <c r="M58" s="57"/>
      <c r="N58" s="71">
        <v>22</v>
      </c>
      <c r="O58" s="58">
        <v>5</v>
      </c>
      <c r="P58" s="59">
        <v>3501</v>
      </c>
      <c r="Q58" s="58" t="s">
        <v>21</v>
      </c>
      <c r="R58" s="129" t="s">
        <v>91</v>
      </c>
      <c r="S58" s="109"/>
      <c r="T58" s="109"/>
      <c r="U58" s="109"/>
      <c r="V58" s="109"/>
      <c r="W58" s="109"/>
      <c r="X58" s="109"/>
    </row>
    <row r="60" spans="1:26" s="33" customFormat="1" ht="21.95" customHeight="1" x14ac:dyDescent="0.2">
      <c r="A60" s="9">
        <v>22</v>
      </c>
      <c r="B60" s="86" t="s">
        <v>71</v>
      </c>
      <c r="C60" s="62">
        <v>2</v>
      </c>
      <c r="D60" s="70">
        <f>2-1</f>
        <v>1</v>
      </c>
      <c r="E60" s="47">
        <v>1910</v>
      </c>
      <c r="F60" s="83">
        <f>4+1</f>
        <v>5</v>
      </c>
      <c r="G60" s="84">
        <f>8.93+28.9+55.32+28.59+38.42+18.9</f>
        <v>179.06000000000003</v>
      </c>
      <c r="H60" s="51">
        <f t="shared" ref="H60" si="6">I60+J60</f>
        <v>35.839999999999975</v>
      </c>
      <c r="I60" s="51">
        <f>214.9-G60</f>
        <v>35.839999999999975</v>
      </c>
      <c r="J60" s="51"/>
      <c r="K60" s="70"/>
      <c r="L60" s="95"/>
      <c r="M60" s="96"/>
      <c r="N60" s="77">
        <v>15</v>
      </c>
      <c r="O60" s="87">
        <v>617</v>
      </c>
      <c r="P60" s="88">
        <v>455</v>
      </c>
      <c r="Q60" s="87" t="s">
        <v>4</v>
      </c>
      <c r="S60" s="66">
        <v>1</v>
      </c>
      <c r="T60" s="67">
        <v>19</v>
      </c>
      <c r="U60" s="66"/>
      <c r="V60" s="133" t="s">
        <v>97</v>
      </c>
      <c r="W60" s="133"/>
      <c r="X60" s="133"/>
      <c r="Y60" s="133"/>
      <c r="Z60" s="133"/>
    </row>
    <row r="62" spans="1:26" s="101" customFormat="1" ht="21.95" customHeight="1" x14ac:dyDescent="0.2">
      <c r="A62" s="9">
        <v>21</v>
      </c>
      <c r="B62" s="80" t="s">
        <v>72</v>
      </c>
      <c r="C62" s="46">
        <v>1</v>
      </c>
      <c r="D62" s="70">
        <f>4-1-1-1</f>
        <v>1</v>
      </c>
      <c r="E62" s="47">
        <v>1910</v>
      </c>
      <c r="F62" s="83">
        <f>5+1+1+1</f>
        <v>8</v>
      </c>
      <c r="G62" s="84">
        <f>38.06+58.8+30+34.2+10.72+59.9+81.2+38.2</f>
        <v>351.08</v>
      </c>
      <c r="H62" s="51">
        <f t="shared" ref="H62" si="7">I62+J62</f>
        <v>64.170000000000016</v>
      </c>
      <c r="I62" s="51">
        <f>415.25-G62</f>
        <v>64.170000000000016</v>
      </c>
      <c r="J62" s="51"/>
      <c r="K62" s="70"/>
      <c r="L62" s="81"/>
      <c r="M62" s="82"/>
      <c r="N62" s="71">
        <v>32</v>
      </c>
      <c r="O62" s="100">
        <v>153</v>
      </c>
      <c r="P62" s="53">
        <v>2603</v>
      </c>
      <c r="Q62" s="52" t="s">
        <v>53</v>
      </c>
      <c r="S62" s="109" t="s">
        <v>98</v>
      </c>
      <c r="T62" s="109"/>
      <c r="U62" s="109"/>
      <c r="V62" s="109"/>
      <c r="W62" s="109"/>
      <c r="X62" s="109"/>
    </row>
    <row r="64" spans="1:26" s="66" customFormat="1" ht="21.95" customHeight="1" x14ac:dyDescent="0.2">
      <c r="A64" s="103">
        <v>9</v>
      </c>
      <c r="B64" s="86" t="s">
        <v>99</v>
      </c>
      <c r="C64" s="62">
        <v>3</v>
      </c>
      <c r="D64" s="70">
        <f>10-3-1-2</f>
        <v>4</v>
      </c>
      <c r="E64" s="47" t="s">
        <v>100</v>
      </c>
      <c r="F64" s="83">
        <f>8+4+1+1+1+1+3-1+2</f>
        <v>20</v>
      </c>
      <c r="G64" s="84">
        <f>31.35+31.24+45.2+23.14+54.17+20.13+23.92+35.43+35.52+40.97+37.17+30.42+57.25+42.9+35.52+23.54+38.61+42.89+32.54+99.26</f>
        <v>781.17</v>
      </c>
      <c r="H64" s="51">
        <f t="shared" ref="H64" si="8">I64+J64</f>
        <v>159.95000000000027</v>
      </c>
      <c r="I64" s="51">
        <f>875.72-0.41+3.22-45.2-23.14-54.17-20.13-23.92-35.43-35.52-40.97-37.17-30.42-57.25-42.9-35.52-23.54-38.61-42.89-32.54-99.26</f>
        <v>159.95000000000027</v>
      </c>
      <c r="J64" s="51"/>
      <c r="K64" s="70"/>
      <c r="L64" s="104"/>
      <c r="M64" s="105"/>
      <c r="N64" s="70">
        <v>23</v>
      </c>
      <c r="O64" s="87">
        <v>190</v>
      </c>
      <c r="P64" s="88">
        <v>2528</v>
      </c>
      <c r="Q64" s="87" t="s">
        <v>101</v>
      </c>
      <c r="R64" s="101"/>
      <c r="S64" s="109" t="s">
        <v>102</v>
      </c>
      <c r="T64" s="109"/>
      <c r="U64" s="109"/>
      <c r="V64" s="109"/>
      <c r="W64" s="109"/>
      <c r="X64" s="109"/>
    </row>
  </sheetData>
  <mergeCells count="33">
    <mergeCell ref="S64:X64"/>
    <mergeCell ref="S62:X62"/>
    <mergeCell ref="R58:X58"/>
    <mergeCell ref="R56:X56"/>
    <mergeCell ref="R53:X54"/>
    <mergeCell ref="V60:Z60"/>
    <mergeCell ref="B5:B6"/>
    <mergeCell ref="D5:D6"/>
    <mergeCell ref="F5:F6"/>
    <mergeCell ref="F3:J3"/>
    <mergeCell ref="C37:E37"/>
    <mergeCell ref="C35:E35"/>
    <mergeCell ref="C36:E36"/>
    <mergeCell ref="C5:C6"/>
    <mergeCell ref="C34:E34"/>
    <mergeCell ref="E5:E6"/>
    <mergeCell ref="C33:E33"/>
    <mergeCell ref="B1:L1"/>
    <mergeCell ref="Q1:Q2"/>
    <mergeCell ref="A2:P2"/>
    <mergeCell ref="C32:E32"/>
    <mergeCell ref="G5:G6"/>
    <mergeCell ref="H5:H6"/>
    <mergeCell ref="P5:P6"/>
    <mergeCell ref="Q5:Q6"/>
    <mergeCell ref="I5:I6"/>
    <mergeCell ref="J5:J6"/>
    <mergeCell ref="K5:K6"/>
    <mergeCell ref="L5:L6"/>
    <mergeCell ref="M5:M6"/>
    <mergeCell ref="O5:O6"/>
    <mergeCell ref="N5:N6"/>
    <mergeCell ref="A5:A6"/>
  </mergeCells>
  <pageMargins left="0.27559055118110237" right="0" top="0.39370078740157483" bottom="0.78740157480314965" header="0.39370078740157483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maj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 w Piotrkowie Tryb.</dc:creator>
  <cp:lastModifiedBy>Tymińska Ewa</cp:lastModifiedBy>
  <cp:lastPrinted>2024-02-01T08:46:51Z</cp:lastPrinted>
  <dcterms:created xsi:type="dcterms:W3CDTF">2010-11-16T13:16:44Z</dcterms:created>
  <dcterms:modified xsi:type="dcterms:W3CDTF">2024-06-11T13:41:51Z</dcterms:modified>
</cp:coreProperties>
</file>