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485" tabRatio="743" firstSheet="15" activeTab="16"/>
  </bookViews>
  <sheets>
    <sheet name="Zmiany WPF 2021" sheetId="1" state="hidden" r:id="rId1"/>
    <sheet name="Zmiany WPF 2021 odestki akt." sheetId="2" state="hidden" r:id="rId2"/>
    <sheet name="odsetki zaktual" sheetId="3" state="hidden" r:id="rId3"/>
    <sheet name="Zmiany WPF 2021 odestki akt (2)" sheetId="4" state="hidden" r:id="rId4"/>
    <sheet name="Projekt 2022 " sheetId="5" state="hidden" r:id="rId5"/>
    <sheet name="2024i2025" sheetId="6" state="hidden" r:id="rId6"/>
    <sheet name="2024 projekt AKTUALNY!" sheetId="7" state="hidden" r:id="rId7"/>
    <sheet name="bgk 15 mln" sheetId="8" state="hidden" r:id="rId8"/>
    <sheet name="PROJEKT WPF 2022" sheetId="9" state="hidden" r:id="rId9"/>
    <sheet name="16 900" sheetId="10" state="hidden" r:id="rId10"/>
    <sheet name="2022 3,5 mln" sheetId="11" state="hidden" r:id="rId11"/>
    <sheet name="2022 - 18 mln" sheetId="12" state="hidden" r:id="rId12"/>
    <sheet name="Kredyt 20 mln na 2023" sheetId="13" state="hidden" r:id="rId13"/>
    <sheet name="2023-2 mln" sheetId="14" state="hidden" r:id="rId14"/>
    <sheet name="2024-20 mln" sheetId="15" state="hidden" r:id="rId15"/>
    <sheet name="nowy 2024 -27,5mln" sheetId="16" r:id="rId16"/>
    <sheet name="nowy 2025 - 15 mln" sheetId="17" r:id="rId17"/>
    <sheet name="tabela do przetargu -wniosku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Excel_BuiltIn_Print_Area" localSheetId="8">'PROJEKT WPF 2022'!$A$1:$W$69</definedName>
    <definedName name="Excel_BuiltIn_Print_Area" localSheetId="0">'Zmiany WPF 2021'!$A$1:$W$96</definedName>
    <definedName name="Excel_BuiltIn_Print_Area" localSheetId="3">'Zmiany WPF 2021 odestki akt (2)'!$A$1:$AC$96</definedName>
    <definedName name="Excel_BuiltIn_Print_Area" localSheetId="1">'Zmiany WPF 2021 odestki akt.'!$A$1:$AC$96</definedName>
    <definedName name="_xlnm.Print_Area" localSheetId="15">'nowy 2024 -27,5mln'!$A$1:$F$266</definedName>
    <definedName name="_xlnm.Print_Area" localSheetId="16">'nowy 2025 - 15 mln'!$A$1:$G$264</definedName>
    <definedName name="_xlnm.Print_Area" localSheetId="8">'PROJEKT WPF 2022'!$A$1:$W$69</definedName>
    <definedName name="_xlnm.Print_Area" localSheetId="0">'Zmiany WPF 2021'!$A$1:$W$96</definedName>
    <definedName name="_xlnm.Print_Area" localSheetId="3">'Zmiany WPF 2021 odestki akt (2)'!$A$1:$AC$96</definedName>
    <definedName name="_xlnm.Print_Area" localSheetId="1">'Zmiany WPF 2021 odestki akt.'!$A$1:$AC$96</definedName>
  </definedNames>
  <calcPr fullCalcOnLoad="1"/>
</workbook>
</file>

<file path=xl/sharedStrings.xml><?xml version="1.0" encoding="utf-8"?>
<sst xmlns="http://schemas.openxmlformats.org/spreadsheetml/2006/main" count="2243" uniqueCount="352">
  <si>
    <t>Aktualizacja 25-08-2021</t>
  </si>
  <si>
    <t>WIBOR  DNIA 30-03-2020</t>
  </si>
  <si>
    <t>Spłaty do WPF na lata 2021-2041</t>
  </si>
  <si>
    <t>Możliwość wcześniejszej spłaty kredytu</t>
  </si>
  <si>
    <t>TAK</t>
  </si>
  <si>
    <t>marża</t>
  </si>
  <si>
    <t>oprocentowanie</t>
  </si>
  <si>
    <t>spłata kredytów i pożyczek 2020-2040 r</t>
  </si>
  <si>
    <t>WIBOR 3M- 0,68%</t>
  </si>
  <si>
    <t>WIBOR 6M- 0,69%</t>
  </si>
  <si>
    <t>WIBOR 3M- 0,26 %</t>
  </si>
  <si>
    <t>seria PKO 18</t>
  </si>
  <si>
    <t>WPF</t>
  </si>
  <si>
    <t>Lata</t>
  </si>
  <si>
    <t>Oleśnica/12</t>
  </si>
  <si>
    <t>Oleśnica/14</t>
  </si>
  <si>
    <t>Oleśnica /13</t>
  </si>
  <si>
    <t>Żmigród- 155/14</t>
  </si>
  <si>
    <t>Zmigród-156/14</t>
  </si>
  <si>
    <t>Getin /15</t>
  </si>
  <si>
    <t>pko/2017/o</t>
  </si>
  <si>
    <t>2018/O</t>
  </si>
  <si>
    <t>pko/2019/0</t>
  </si>
  <si>
    <t>BGK kredyt 2020</t>
  </si>
  <si>
    <t>Spłata z tytułu zobowiązań już zaciągniętych (10.6)</t>
  </si>
  <si>
    <t>PKO BP kredyt 2021</t>
  </si>
  <si>
    <t xml:space="preserve">NOWY KREDYT 2021 </t>
  </si>
  <si>
    <t>NOWY KREDYT 2022</t>
  </si>
  <si>
    <t xml:space="preserve">Spłata zobowiązań planowanych do zaciągnięcia </t>
  </si>
  <si>
    <t>NOWA WYSOKOŚĆ ROZCHODÓW  (kol.19+23)</t>
  </si>
  <si>
    <t>Rozchody wg WPF               20-05-2021</t>
  </si>
  <si>
    <t>RÓŻNICA PO ZMIANACH ROZCHODÓW</t>
  </si>
  <si>
    <t>A</t>
  </si>
  <si>
    <t>wb</t>
  </si>
  <si>
    <t>B,J</t>
  </si>
  <si>
    <t>E,</t>
  </si>
  <si>
    <t>F</t>
  </si>
  <si>
    <t>G</t>
  </si>
  <si>
    <t>K</t>
  </si>
  <si>
    <t>L</t>
  </si>
  <si>
    <t>C</t>
  </si>
  <si>
    <t>D</t>
  </si>
  <si>
    <t>Suma</t>
  </si>
  <si>
    <t>Odsetki w 2020 za 4 Kwartały</t>
  </si>
  <si>
    <t>B</t>
  </si>
  <si>
    <t>B-A</t>
  </si>
  <si>
    <t>C-A</t>
  </si>
  <si>
    <t>NOWA WARTOŚĆ OBSŁUGI DŁUGU</t>
  </si>
  <si>
    <t>odsetki</t>
  </si>
  <si>
    <t>2017/o</t>
  </si>
  <si>
    <t>2018/pko/o</t>
  </si>
  <si>
    <t>2019/pko/o</t>
  </si>
  <si>
    <t>BGK  kredyt 2020</t>
  </si>
  <si>
    <t>Odsetki od zobowiązań już zaciągniętych</t>
  </si>
  <si>
    <t>NOWY KREDYT 2021</t>
  </si>
  <si>
    <t>Odsetki od zobowiązan planowanych do zaciągnięcia</t>
  </si>
  <si>
    <t>ŁĄCZNE  ODSETKI OD ZOBOWIĄZANIA</t>
  </si>
  <si>
    <t>PIERWOTNE ODSETKI</t>
  </si>
  <si>
    <t>RÓŻNICA NA ODSETKACH</t>
  </si>
  <si>
    <t>OBSŁUGA DŁUGU W WPF NA DZIEŃ 20-05-2021</t>
  </si>
  <si>
    <t>RÓŻNICA ODSETEK OBSŁUGA DŁUGU Z  WPF</t>
  </si>
  <si>
    <t xml:space="preserve">obsługa długu po zmianach odsetek </t>
  </si>
  <si>
    <t xml:space="preserve">kurs </t>
  </si>
  <si>
    <t>wartości nieaktualne</t>
  </si>
  <si>
    <t>Tabela nr 4</t>
  </si>
  <si>
    <t>Tab 4. Harmonogram spłat kredytów, pożyczek oraz wykup obligacji w latach 2021-2041</t>
  </si>
  <si>
    <t xml:space="preserve">Suma z zobowiązań zaciągniętych w latach 2013-2019 </t>
  </si>
  <si>
    <t>Kredyty 2020</t>
  </si>
  <si>
    <t>Kredyty 2021</t>
  </si>
  <si>
    <t>Kredyty 2022</t>
  </si>
  <si>
    <t>Razem</t>
  </si>
  <si>
    <t>Aktualizacja 25-10-2021</t>
  </si>
  <si>
    <t>PKO BP kredyt 2022</t>
  </si>
  <si>
    <t xml:space="preserve">Marża </t>
  </si>
  <si>
    <t>Wibor</t>
  </si>
  <si>
    <t>NOWY KREDYT 2021 zaktual. dnia 25.10.2021</t>
  </si>
  <si>
    <t xml:space="preserve">NOWY KREDYT zaktual. 2022 </t>
  </si>
  <si>
    <t>Odsetki od zobowiązan planowanych do zaciągnięcia wg danych  na dzień 21.10.2021</t>
  </si>
  <si>
    <t>Odsetki od zobowiązan planowanych do zaciągnięcia po zaktual.</t>
  </si>
  <si>
    <t>Łączne odsetki od zobowiązania</t>
  </si>
  <si>
    <t>Łączne odsetki od zobowiązania zaktual.</t>
  </si>
  <si>
    <t>Różnica na odsetkach</t>
  </si>
  <si>
    <t>OBSŁUGA DŁUGU W WPF NA DZIEŃ 21-10-2021</t>
  </si>
  <si>
    <t>Różnica na obsłudze długu</t>
  </si>
  <si>
    <t>Aktualizacja 12-11-2021</t>
  </si>
  <si>
    <t>Aktualizacja 09-11-2021</t>
  </si>
  <si>
    <t>WIBOR  DNIA 08-11-2021 3M 1,56%, 6M 1,87%</t>
  </si>
  <si>
    <t>PROJEKT 2022 ROK</t>
  </si>
  <si>
    <t>WIBOR 3M- 1,56 %</t>
  </si>
  <si>
    <t>WIBOR 3M- 1,56%</t>
  </si>
  <si>
    <t>WIBOR 6M- 1,87%</t>
  </si>
  <si>
    <t>NOWY KREDYT ( PKO BP) 2023</t>
  </si>
  <si>
    <t xml:space="preserve">NOWY KREDYT 2023 </t>
  </si>
  <si>
    <t>NOWY KREDYT 2024</t>
  </si>
  <si>
    <t>NOWY (PKO BP) kredyt 2022</t>
  </si>
  <si>
    <t xml:space="preserve">Odsetki od zobowiązań planowanych do zaciągnięcia </t>
  </si>
  <si>
    <t>OBSŁUGA DŁUGU W WPF NA DZIEŃ 18.11.2021 R.</t>
  </si>
  <si>
    <t>Różnica w obsłudze długu</t>
  </si>
  <si>
    <t>Załącznik nr…....</t>
  </si>
  <si>
    <t>nazwa i adres Wykonawcy</t>
  </si>
  <si>
    <t>…....2020</t>
  </si>
  <si>
    <t>Formularz do obliczenia ceny zamówienia publicznego w trybie przetargu nieograniczonego na udzielenie i obsługę kredytu długoterminowego złotowego do łącznej wysokości 23 000 000,00 zł</t>
  </si>
  <si>
    <t>Stawka WIBOR 3M z dnia 01-07-2020 roku (0,26 %)</t>
  </si>
  <si>
    <t>Marża banku /%/</t>
  </si>
  <si>
    <t>Data pobrania kredytu /tylko do celów obliczenia ceny/</t>
  </si>
  <si>
    <t>I KREDYT W 2020 R- KWOTA 15 000 000</t>
  </si>
  <si>
    <t>Założenia dodatkowe:</t>
  </si>
  <si>
    <t>1. Liczba dni w roku – 365</t>
  </si>
  <si>
    <t>2. W celu uproszczenia obliczeń, nie uwzględniono świąt i dni wolnych od pracy przypadających na dzień spłaty rat kredytowych i odsetkowych</t>
  </si>
  <si>
    <t>LATA</t>
  </si>
  <si>
    <t>OFERTA</t>
  </si>
  <si>
    <t>RATY</t>
  </si>
  <si>
    <t>3. Proszę wypełniać tylko i wyłącznie pola oznaczone kolorem czerwonym</t>
  </si>
  <si>
    <t>Prognoza spłaty odsetek</t>
  </si>
  <si>
    <t>data spłaty</t>
  </si>
  <si>
    <t>liczba dni</t>
  </si>
  <si>
    <t>kwota kredytu</t>
  </si>
  <si>
    <t xml:space="preserve"> rata spłacana</t>
  </si>
  <si>
    <t>stopa %</t>
  </si>
  <si>
    <t>2020 rok</t>
  </si>
  <si>
    <t>2021 rok</t>
  </si>
  <si>
    <t>2022 rok</t>
  </si>
  <si>
    <t>2023 rok</t>
  </si>
  <si>
    <t>2024 rok</t>
  </si>
  <si>
    <t>2025 rok</t>
  </si>
  <si>
    <t>2026 rok</t>
  </si>
  <si>
    <t>2027 rok</t>
  </si>
  <si>
    <t>2028 rok</t>
  </si>
  <si>
    <t>2029 rok</t>
  </si>
  <si>
    <t>2030 rok</t>
  </si>
  <si>
    <t>2031 rok</t>
  </si>
  <si>
    <t>2032 rok</t>
  </si>
  <si>
    <t>2033 rok</t>
  </si>
  <si>
    <t>2034 rok</t>
  </si>
  <si>
    <t>2036 rok</t>
  </si>
  <si>
    <t>2037 rok</t>
  </si>
  <si>
    <t>2038 rok</t>
  </si>
  <si>
    <t>2039 rok</t>
  </si>
  <si>
    <t>2040 rok</t>
  </si>
  <si>
    <t>2041 rok</t>
  </si>
  <si>
    <t>Odsetki od kredytu</t>
  </si>
  <si>
    <t>/PLN/</t>
  </si>
  <si>
    <t>Prowizja od kredytu</t>
  </si>
  <si>
    <t>Koszt kredytu razem</t>
  </si>
  <si>
    <t>/EUR/</t>
  </si>
  <si>
    <t>Kurs EUR 4,4465</t>
  </si>
  <si>
    <t>miejscowość i data</t>
  </si>
  <si>
    <t>Podpis(y) osoby/osób upoważnionej/ych do zaciągania zobowiązań cywilno-prawnych w imieniu Wykonawcy</t>
  </si>
  <si>
    <t>Aktualizacja 17-11-2021</t>
  </si>
  <si>
    <t>NOWY KREDYT ( PKO BP) 2022</t>
  </si>
  <si>
    <t>OBSŁUGA DŁUGU - PROJEKT WPF 2022-2045</t>
  </si>
  <si>
    <t>PODSTAWOWE PARAMETRY KREDYTOWE:</t>
  </si>
  <si>
    <t>Kwota kredytu (w PLN)</t>
  </si>
  <si>
    <t>Podstawa oprocentowania (stawka bazowa)</t>
  </si>
  <si>
    <t>WIBOR 3M z dnia 12 września 2022</t>
  </si>
  <si>
    <t>Marża (%)</t>
  </si>
  <si>
    <t>Łączne oprocentowanie kredytu (do symulacji przyjęto stały poziom oprocentowaniaw okresie kredytowania):
(do symulacji przyjęto stały poziom oprocentowania w okresie kredytowania):</t>
  </si>
  <si>
    <t>stawka bazowa powiększona o marżę</t>
  </si>
  <si>
    <t>Prowizja (%)</t>
  </si>
  <si>
    <t>Data uruchomienia kredytu</t>
  </si>
  <si>
    <t>Okres karencji w spłacie kredytu</t>
  </si>
  <si>
    <t>brak</t>
  </si>
  <si>
    <t>Spłata rat kredytowych</t>
  </si>
  <si>
    <t>…...</t>
  </si>
  <si>
    <t xml:space="preserve">Spłaty nierówne,
płatne cztery razy w roku
do 30 marca, do 30 czerwca, do 30 września i do 30 grudnia, tj:
20 rat po 800 000,00 zł 
12 rat po 750 000,00 zł
</t>
  </si>
  <si>
    <t xml:space="preserve">Data ostatecznej spłaty </t>
  </si>
  <si>
    <t>30.12.2041</t>
  </si>
  <si>
    <t>HARMONOGRAM SPŁAT</t>
  </si>
  <si>
    <t>Data</t>
  </si>
  <si>
    <t>Stawka bazowa oprocentowania (% rocznie)</t>
  </si>
  <si>
    <t>Marża
(%)</t>
  </si>
  <si>
    <t>Łączne oprocentowanie (% rocznie)</t>
  </si>
  <si>
    <t>Kwota 
uruchomionego kredytu</t>
  </si>
  <si>
    <t>Saldo kredytu 
po spłacie rat kredytowych</t>
  </si>
  <si>
    <t>Liczba dni 
w okresie odsetkowym</t>
  </si>
  <si>
    <t>Odsetki 
do spłaty</t>
  </si>
  <si>
    <t>/1/</t>
  </si>
  <si>
    <t>/2/</t>
  </si>
  <si>
    <t>/3/</t>
  </si>
  <si>
    <t>/4/</t>
  </si>
  <si>
    <t>/5/</t>
  </si>
  <si>
    <t>/6/</t>
  </si>
  <si>
    <t>/7/</t>
  </si>
  <si>
    <t>/8/</t>
  </si>
  <si>
    <t>/9/</t>
  </si>
  <si>
    <t>suma spłat</t>
  </si>
  <si>
    <t>/2/+/3/</t>
  </si>
  <si>
    <t>/4/*/7/*/8/ / rzeczywista liczba dni w roku</t>
  </si>
  <si>
    <t>odsetki 2020</t>
  </si>
  <si>
    <t>odsetki 2021</t>
  </si>
  <si>
    <t>IV NOWY KREDYT W 2022 R- KWOTA 16 900 000</t>
  </si>
  <si>
    <t xml:space="preserve">RATY </t>
  </si>
  <si>
    <t>suma odsetek</t>
  </si>
  <si>
    <t>prowizja</t>
  </si>
  <si>
    <t>Łączny koszt kredytu</t>
  </si>
  <si>
    <t>WIBOR 3M z dnia 12 lipca 2022</t>
  </si>
  <si>
    <t>odsetki 2022</t>
  </si>
  <si>
    <t>odsetki 2024</t>
  </si>
  <si>
    <t>odsetki 2025</t>
  </si>
  <si>
    <t>odsetki 2026</t>
  </si>
  <si>
    <t>odsetki 2027</t>
  </si>
  <si>
    <t>odsetki 2028</t>
  </si>
  <si>
    <t>…....2022</t>
  </si>
  <si>
    <t>Formularz do obliczenia ceny zamówienia publicznego w trybie przetargu nieograniczonego na udzielenie i obsługę kredytu długoterminowego złotowego do łącznej wysokości 17 935 000,00 zł</t>
  </si>
  <si>
    <t>Stawka WIBOR 3M z dnia 22-06-2022 roku (6,97 %)</t>
  </si>
  <si>
    <t>ODSEKI</t>
  </si>
  <si>
    <t>RATA</t>
  </si>
  <si>
    <t>2025  rok</t>
  </si>
  <si>
    <t>2030rok</t>
  </si>
  <si>
    <t>2035 rok</t>
  </si>
  <si>
    <t>2042 rok</t>
  </si>
  <si>
    <t>Aktualizacja 04-04-2022 r</t>
  </si>
  <si>
    <t>WIBOR 3M- 7,00 %</t>
  </si>
  <si>
    <t>BS Oleśnica 2021</t>
  </si>
  <si>
    <t>BS Oleśnica 2022</t>
  </si>
  <si>
    <t>nowy -planowany kredyt w 2023</t>
  </si>
  <si>
    <t>NOWY kredyt 2022</t>
  </si>
  <si>
    <t>…....2023</t>
  </si>
  <si>
    <t>Formularz do obliczenia ceny zamówienia publicznego w trybie przetargu nieograniczonego na udzielenie i obsługę kredytu długoterminowego złotowego do łącznej wysokości 10 000 000,00 zł</t>
  </si>
  <si>
    <t>II KREDYT W 2022 R- KWOTA 10 000 000</t>
  </si>
  <si>
    <t>2044 rok</t>
  </si>
  <si>
    <t>2045 rok</t>
  </si>
  <si>
    <t>2043 rok</t>
  </si>
  <si>
    <t>Spłaty do WPF na lata 2023-2043 + DODATKOWY KREDYT (30 MLN)</t>
  </si>
  <si>
    <t>OBSŁUGA DŁUGU WG. -  WPF 2023-2043</t>
  </si>
  <si>
    <t>ROZCHODY WG. WPF- 2022-2043</t>
  </si>
  <si>
    <t xml:space="preserve"> KREDYT 2023 – umowa podpisana BS - wcześniejsza spłata/wyłączenie*</t>
  </si>
  <si>
    <t>Spłata z tytułu zobowiązań już zaciągniętych (10.6)* (suma kolumn 1:7+16)</t>
  </si>
  <si>
    <t>NOWA WYSOKOŚĆ ROZCHODÓW  (suma kolumn 1:8 + 12)</t>
  </si>
  <si>
    <t>BS Oleśnica KIK/2205668 z 2023</t>
  </si>
  <si>
    <t>SGB 174/UK15/1801770/23 - planowany w 2023 r.</t>
  </si>
  <si>
    <t>BS Oleśnica KIK/2205668 z 2022</t>
  </si>
  <si>
    <t>BS Oleśnica  nr 1/BS/SI/RK/2021 z 2021</t>
  </si>
  <si>
    <t>BS Oleśnica  nr 2/BS/SI/RK/2021 z 2021</t>
  </si>
  <si>
    <t>BGK nr 20/4524 z 2020 r.</t>
  </si>
  <si>
    <t>II KREDYT W 2022 R- KWOTA18 000 000</t>
  </si>
  <si>
    <t>II KREDYT W 2022 R- KWOTA 20 000 000</t>
  </si>
  <si>
    <t>SGB 175/UK15/1801770/23 - planowany w 2024 r.</t>
  </si>
  <si>
    <t>AKTUALIZACJA ODSETEK NA DZIEŃ 02.11.2023 R</t>
  </si>
  <si>
    <t>WIBOR 3M - 5,66%</t>
  </si>
  <si>
    <t>WIBOR 6M - 5,56</t>
  </si>
  <si>
    <t>WIBOR 3M- 5,66 %</t>
  </si>
  <si>
    <t>NOWY 2024</t>
  </si>
  <si>
    <t>nowy kredyt 2025</t>
  </si>
  <si>
    <t>nowy 2025</t>
  </si>
  <si>
    <t>Spłaty do WPF na lata 2023-2044 + DODATKOWY KREDYT (40 MLN)</t>
  </si>
  <si>
    <t>BS Oleśnica KIK/2205664 z 2022</t>
  </si>
  <si>
    <t>WIBOR 3M- 5,89 %</t>
  </si>
  <si>
    <t>H</t>
  </si>
  <si>
    <t>I</t>
  </si>
  <si>
    <t>E</t>
  </si>
  <si>
    <t>J</t>
  </si>
  <si>
    <t>SGB 175/UK15/1801770/23 -uruchomiony w 2024 r.</t>
  </si>
  <si>
    <t>SGB 174/UK15/1801770/23 z 2023 r.</t>
  </si>
  <si>
    <t>AKTUALIZACJA ODSETEK NA DZIEŃ 10-06-2024 R</t>
  </si>
  <si>
    <t>WIBOR 3M - 5,89%</t>
  </si>
  <si>
    <t>1,2+0,2</t>
  </si>
  <si>
    <t>WIBOR 6M - 5,86</t>
  </si>
  <si>
    <t>ROZCHODY WG. WPF- 2024-2044</t>
  </si>
  <si>
    <t>OBSŁUGA DŁUGU WG  WPF 2024-2044</t>
  </si>
  <si>
    <t>WIBOR 6M-5,86 na dzień10-06</t>
  </si>
  <si>
    <t>…....2024</t>
  </si>
  <si>
    <t>Formularz do obliczenia ceny zamówienia publicznego w trybie przetargu nieograniczonego na udzielenie i obsługę kredytu długoterminowego złotowego do łącznej wysokości 27 500 000,00 zł</t>
  </si>
  <si>
    <t>I część kredytu</t>
  </si>
  <si>
    <t>II część kredytu</t>
  </si>
  <si>
    <t>Suma cz. I i cz. II</t>
  </si>
  <si>
    <t>30.03.2025</t>
  </si>
  <si>
    <t>30.06.2025</t>
  </si>
  <si>
    <t>30.09.2025</t>
  </si>
  <si>
    <t>30.12.2025</t>
  </si>
  <si>
    <t>30.03.2026</t>
  </si>
  <si>
    <t>30.06.2026</t>
  </si>
  <si>
    <t>30.09.2026</t>
  </si>
  <si>
    <t>30.12.2026</t>
  </si>
  <si>
    <t>30.03.2027</t>
  </si>
  <si>
    <t>30.06.2027</t>
  </si>
  <si>
    <t>30.09.2027</t>
  </si>
  <si>
    <t>30.12.2027</t>
  </si>
  <si>
    <t>30.03.2028</t>
  </si>
  <si>
    <t>30.06.2028</t>
  </si>
  <si>
    <t>30.09.2028</t>
  </si>
  <si>
    <t>30.12.2028</t>
  </si>
  <si>
    <t>30.03.2029</t>
  </si>
  <si>
    <t>30.06.2029</t>
  </si>
  <si>
    <t>30.09.2029</t>
  </si>
  <si>
    <t>30.12.2029</t>
  </si>
  <si>
    <t>30.03.2030</t>
  </si>
  <si>
    <t>30.06.2030</t>
  </si>
  <si>
    <t>30.09.2030</t>
  </si>
  <si>
    <t>30.12.2030</t>
  </si>
  <si>
    <t>30.03.2031</t>
  </si>
  <si>
    <t>30.06.2031</t>
  </si>
  <si>
    <t>30.09.2031</t>
  </si>
  <si>
    <t>30.12.2031</t>
  </si>
  <si>
    <t>30.03.2032</t>
  </si>
  <si>
    <t>30.06.2032</t>
  </si>
  <si>
    <t>30.09.2032</t>
  </si>
  <si>
    <t>30.12.2032</t>
  </si>
  <si>
    <t>30.03.2033</t>
  </si>
  <si>
    <t>30.06.2033</t>
  </si>
  <si>
    <t>30.09.2033</t>
  </si>
  <si>
    <t>30.12.2033</t>
  </si>
  <si>
    <t>30.03.2034</t>
  </si>
  <si>
    <t>30.06.2034</t>
  </si>
  <si>
    <t>30.09.2034</t>
  </si>
  <si>
    <t>30.12.2034</t>
  </si>
  <si>
    <t>30.03.2035</t>
  </si>
  <si>
    <t>30.06.2035</t>
  </si>
  <si>
    <t>30.09.2035</t>
  </si>
  <si>
    <t>30.12.2035</t>
  </si>
  <si>
    <t>30.03.2036</t>
  </si>
  <si>
    <t>30.06.2036</t>
  </si>
  <si>
    <t>30.09.2036</t>
  </si>
  <si>
    <t>30.12.2036</t>
  </si>
  <si>
    <t>30.03.2037</t>
  </si>
  <si>
    <t>30.06.2037</t>
  </si>
  <si>
    <t>30.09.2037</t>
  </si>
  <si>
    <t>30.12.2037</t>
  </si>
  <si>
    <t>30.03.2038</t>
  </si>
  <si>
    <t>30.06.2038</t>
  </si>
  <si>
    <t>30.09.2038</t>
  </si>
  <si>
    <t>30.12.2038</t>
  </si>
  <si>
    <t>30.03.2039</t>
  </si>
  <si>
    <t>30.06.2039</t>
  </si>
  <si>
    <t>30.09.2039</t>
  </si>
  <si>
    <t>30.12.2039</t>
  </si>
  <si>
    <t>30.03.2040</t>
  </si>
  <si>
    <t>30.06.2040</t>
  </si>
  <si>
    <t>30.09.2040</t>
  </si>
  <si>
    <t>30.12.2040</t>
  </si>
  <si>
    <t>30.03.2041</t>
  </si>
  <si>
    <t>30.06.2041</t>
  </si>
  <si>
    <t>30.09.2041</t>
  </si>
  <si>
    <t>30.03.2042</t>
  </si>
  <si>
    <t>30.06.2042</t>
  </si>
  <si>
    <t>30.09.2042</t>
  </si>
  <si>
    <t>30.12.2042</t>
  </si>
  <si>
    <t>30.03.2043</t>
  </si>
  <si>
    <t>30.06.2043</t>
  </si>
  <si>
    <t>30.09.2043</t>
  </si>
  <si>
    <t>30.12.2043</t>
  </si>
  <si>
    <t>30.03.2044</t>
  </si>
  <si>
    <t>30.06.2044</t>
  </si>
  <si>
    <t>30.09.2044</t>
  </si>
  <si>
    <t>30.12.2044</t>
  </si>
  <si>
    <t>Formularz do obliczenia ceny zamówienia publicznego w trybie przetargu nieograniczonego na udzielenie i obsługę kredytu długoterminowego złotowego do łącznej wysokości 15 000 000,00 zł</t>
  </si>
  <si>
    <t>Stawka WIBOR 3M z dnia 26-06-2024 roku (5,85 %)</t>
  </si>
  <si>
    <t>…....2025</t>
  </si>
  <si>
    <t>Kurs EUR 4,6371</t>
  </si>
  <si>
    <t>II KREDYT W 2025 R- KWOTA 15 000 000,00 zł</t>
  </si>
  <si>
    <t>I KREDYT W 2024 R- KWOTA 27 500 000,00 zł</t>
  </si>
  <si>
    <t>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</si>
</sst>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mmm\ yy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99FF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16" fillId="0" borderId="0" applyFill="0" applyBorder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9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5" fillId="34" borderId="13" xfId="0" applyNumberFormat="1" applyFont="1" applyFill="1" applyBorder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9" fontId="6" fillId="35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37" borderId="18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horizont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166" fontId="2" fillId="0" borderId="13" xfId="0" applyNumberFormat="1" applyFont="1" applyBorder="1" applyAlignment="1">
      <alignment/>
    </xf>
    <xf numFmtId="166" fontId="2" fillId="0" borderId="28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30" xfId="0" applyNumberFormat="1" applyFont="1" applyBorder="1" applyAlignment="1">
      <alignment/>
    </xf>
    <xf numFmtId="166" fontId="2" fillId="0" borderId="31" xfId="0" applyNumberFormat="1" applyFont="1" applyBorder="1" applyAlignment="1">
      <alignment/>
    </xf>
    <xf numFmtId="166" fontId="2" fillId="43" borderId="32" xfId="0" applyNumberFormat="1" applyFont="1" applyFill="1" applyBorder="1" applyAlignment="1">
      <alignment/>
    </xf>
    <xf numFmtId="166" fontId="2" fillId="34" borderId="13" xfId="0" applyNumberFormat="1" applyFont="1" applyFill="1" applyBorder="1" applyAlignment="1">
      <alignment/>
    </xf>
    <xf numFmtId="166" fontId="7" fillId="35" borderId="28" xfId="0" applyNumberFormat="1" applyFont="1" applyFill="1" applyBorder="1" applyAlignment="1">
      <alignment/>
    </xf>
    <xf numFmtId="166" fontId="5" fillId="33" borderId="28" xfId="0" applyNumberFormat="1" applyFont="1" applyFill="1" applyBorder="1" applyAlignment="1">
      <alignment/>
    </xf>
    <xf numFmtId="166" fontId="5" fillId="37" borderId="33" xfId="0" applyNumberFormat="1" applyFont="1" applyFill="1" applyBorder="1" applyAlignment="1">
      <alignment/>
    </xf>
    <xf numFmtId="166" fontId="5" fillId="36" borderId="25" xfId="0" applyNumberFormat="1" applyFont="1" applyFill="1" applyBorder="1" applyAlignment="1">
      <alignment/>
    </xf>
    <xf numFmtId="166" fontId="2" fillId="0" borderId="24" xfId="0" applyNumberFormat="1" applyFont="1" applyBorder="1" applyAlignment="1">
      <alignment/>
    </xf>
    <xf numFmtId="0" fontId="2" fillId="33" borderId="34" xfId="0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6" fontId="2" fillId="0" borderId="35" xfId="0" applyNumberFormat="1" applyFont="1" applyBorder="1" applyAlignment="1">
      <alignment/>
    </xf>
    <xf numFmtId="0" fontId="2" fillId="37" borderId="13" xfId="0" applyFont="1" applyFill="1" applyBorder="1" applyAlignment="1">
      <alignment/>
    </xf>
    <xf numFmtId="166" fontId="2" fillId="35" borderId="13" xfId="0" applyNumberFormat="1" applyFont="1" applyFill="1" applyBorder="1" applyAlignment="1">
      <alignment/>
    </xf>
    <xf numFmtId="167" fontId="2" fillId="35" borderId="13" xfId="0" applyNumberFormat="1" applyFont="1" applyFill="1" applyBorder="1" applyAlignment="1">
      <alignment/>
    </xf>
    <xf numFmtId="167" fontId="2" fillId="35" borderId="34" xfId="0" applyNumberFormat="1" applyFont="1" applyFill="1" applyBorder="1" applyAlignment="1">
      <alignment/>
    </xf>
    <xf numFmtId="166" fontId="2" fillId="35" borderId="29" xfId="0" applyNumberFormat="1" applyFont="1" applyFill="1" applyBorder="1" applyAlignment="1">
      <alignment/>
    </xf>
    <xf numFmtId="166" fontId="2" fillId="35" borderId="30" xfId="0" applyNumberFormat="1" applyFont="1" applyFill="1" applyBorder="1" applyAlignment="1">
      <alignment/>
    </xf>
    <xf numFmtId="166" fontId="2" fillId="35" borderId="31" xfId="0" applyNumberFormat="1" applyFont="1" applyFill="1" applyBorder="1" applyAlignment="1">
      <alignment/>
    </xf>
    <xf numFmtId="166" fontId="2" fillId="34" borderId="28" xfId="0" applyNumberFormat="1" applyFont="1" applyFill="1" applyBorder="1" applyAlignment="1">
      <alignment/>
    </xf>
    <xf numFmtId="166" fontId="2" fillId="35" borderId="28" xfId="0" applyNumberFormat="1" applyFont="1" applyFill="1" applyBorder="1" applyAlignment="1">
      <alignment/>
    </xf>
    <xf numFmtId="167" fontId="5" fillId="33" borderId="28" xfId="0" applyNumberFormat="1" applyFont="1" applyFill="1" applyBorder="1" applyAlignment="1">
      <alignment/>
    </xf>
    <xf numFmtId="166" fontId="5" fillId="36" borderId="33" xfId="0" applyNumberFormat="1" applyFont="1" applyFill="1" applyBorder="1" applyAlignment="1">
      <alignment/>
    </xf>
    <xf numFmtId="166" fontId="2" fillId="0" borderId="32" xfId="0" applyNumberFormat="1" applyFont="1" applyBorder="1" applyAlignment="1">
      <alignment/>
    </xf>
    <xf numFmtId="0" fontId="2" fillId="33" borderId="35" xfId="0" applyFont="1" applyFill="1" applyBorder="1" applyAlignment="1">
      <alignment/>
    </xf>
    <xf numFmtId="166" fontId="2" fillId="44" borderId="28" xfId="0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/>
    </xf>
    <xf numFmtId="166" fontId="2" fillId="0" borderId="31" xfId="0" applyNumberFormat="1" applyFont="1" applyBorder="1" applyAlignment="1">
      <alignment horizontal="right"/>
    </xf>
    <xf numFmtId="167" fontId="2" fillId="0" borderId="35" xfId="0" applyNumberFormat="1" applyFont="1" applyFill="1" applyBorder="1" applyAlignment="1">
      <alignment/>
    </xf>
    <xf numFmtId="166" fontId="2" fillId="0" borderId="36" xfId="0" applyNumberFormat="1" applyFont="1" applyBorder="1" applyAlignment="1">
      <alignment/>
    </xf>
    <xf numFmtId="166" fontId="2" fillId="0" borderId="37" xfId="0" applyNumberFormat="1" applyFont="1" applyBorder="1" applyAlignment="1">
      <alignment/>
    </xf>
    <xf numFmtId="166" fontId="2" fillId="0" borderId="38" xfId="0" applyNumberFormat="1" applyFont="1" applyBorder="1" applyAlignment="1">
      <alignment/>
    </xf>
    <xf numFmtId="166" fontId="2" fillId="0" borderId="39" xfId="0" applyNumberFormat="1" applyFont="1" applyBorder="1" applyAlignment="1">
      <alignment/>
    </xf>
    <xf numFmtId="166" fontId="2" fillId="35" borderId="40" xfId="0" applyNumberFormat="1" applyFont="1" applyFill="1" applyBorder="1" applyAlignment="1">
      <alignment/>
    </xf>
    <xf numFmtId="166" fontId="2" fillId="34" borderId="37" xfId="0" applyNumberFormat="1" applyFont="1" applyFill="1" applyBorder="1" applyAlignment="1">
      <alignment/>
    </xf>
    <xf numFmtId="166" fontId="2" fillId="44" borderId="37" xfId="0" applyNumberFormat="1" applyFont="1" applyFill="1" applyBorder="1" applyAlignment="1">
      <alignment/>
    </xf>
    <xf numFmtId="166" fontId="5" fillId="37" borderId="41" xfId="0" applyNumberFormat="1" applyFont="1" applyFill="1" applyBorder="1" applyAlignment="1">
      <alignment/>
    </xf>
    <xf numFmtId="166" fontId="5" fillId="33" borderId="41" xfId="0" applyNumberFormat="1" applyFont="1" applyFill="1" applyBorder="1" applyAlignment="1">
      <alignment/>
    </xf>
    <xf numFmtId="0" fontId="5" fillId="37" borderId="28" xfId="0" applyFont="1" applyFill="1" applyBorder="1" applyAlignment="1">
      <alignment/>
    </xf>
    <xf numFmtId="166" fontId="5" fillId="33" borderId="16" xfId="0" applyNumberFormat="1" applyFont="1" applyFill="1" applyBorder="1" applyAlignment="1">
      <alignment/>
    </xf>
    <xf numFmtId="166" fontId="5" fillId="33" borderId="15" xfId="0" applyNumberFormat="1" applyFont="1" applyFill="1" applyBorder="1" applyAlignment="1">
      <alignment/>
    </xf>
    <xf numFmtId="167" fontId="5" fillId="33" borderId="15" xfId="0" applyNumberFormat="1" applyFont="1" applyFill="1" applyBorder="1" applyAlignment="1">
      <alignment/>
    </xf>
    <xf numFmtId="167" fontId="5" fillId="33" borderId="42" xfId="0" applyNumberFormat="1" applyFont="1" applyFill="1" applyBorder="1" applyAlignment="1">
      <alignment/>
    </xf>
    <xf numFmtId="166" fontId="5" fillId="33" borderId="42" xfId="0" applyNumberFormat="1" applyFont="1" applyFill="1" applyBorder="1" applyAlignment="1">
      <alignment/>
    </xf>
    <xf numFmtId="166" fontId="8" fillId="37" borderId="16" xfId="0" applyNumberFormat="1" applyFont="1" applyFill="1" applyBorder="1" applyAlignment="1">
      <alignment/>
    </xf>
    <xf numFmtId="166" fontId="5" fillId="37" borderId="16" xfId="0" applyNumberFormat="1" applyFont="1" applyFill="1" applyBorder="1" applyAlignment="1">
      <alignment/>
    </xf>
    <xf numFmtId="166" fontId="5" fillId="35" borderId="43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45" borderId="42" xfId="0" applyFont="1" applyFill="1" applyBorder="1" applyAlignment="1">
      <alignment/>
    </xf>
    <xf numFmtId="0" fontId="5" fillId="45" borderId="15" xfId="0" applyFont="1" applyFill="1" applyBorder="1" applyAlignment="1">
      <alignment/>
    </xf>
    <xf numFmtId="0" fontId="5" fillId="45" borderId="17" xfId="0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5" fillId="37" borderId="42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5" fillId="37" borderId="13" xfId="0" applyFont="1" applyFill="1" applyBorder="1" applyAlignment="1">
      <alignment horizontal="center" vertical="center"/>
    </xf>
    <xf numFmtId="0" fontId="5" fillId="35" borderId="18" xfId="0" applyNumberFormat="1" applyFont="1" applyFill="1" applyBorder="1" applyAlignment="1">
      <alignment horizontal="center" vertical="center"/>
    </xf>
    <xf numFmtId="0" fontId="5" fillId="35" borderId="18" xfId="0" applyNumberFormat="1" applyFont="1" applyFill="1" applyBorder="1" applyAlignment="1">
      <alignment horizontal="center" vertical="center" wrapText="1"/>
    </xf>
    <xf numFmtId="0" fontId="5" fillId="46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47" borderId="20" xfId="0" applyFont="1" applyFill="1" applyBorder="1" applyAlignment="1">
      <alignment horizontal="center" vertical="center" wrapText="1"/>
    </xf>
    <xf numFmtId="0" fontId="5" fillId="47" borderId="22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48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167" fontId="2" fillId="44" borderId="13" xfId="0" applyNumberFormat="1" applyFont="1" applyFill="1" applyBorder="1" applyAlignment="1">
      <alignment/>
    </xf>
    <xf numFmtId="167" fontId="2" fillId="49" borderId="13" xfId="0" applyNumberFormat="1" applyFont="1" applyFill="1" applyBorder="1" applyAlignment="1">
      <alignment/>
    </xf>
    <xf numFmtId="167" fontId="2" fillId="43" borderId="13" xfId="0" applyNumberFormat="1" applyFont="1" applyFill="1" applyBorder="1" applyAlignment="1">
      <alignment/>
    </xf>
    <xf numFmtId="167" fontId="2" fillId="34" borderId="13" xfId="0" applyNumberFormat="1" applyFont="1" applyFill="1" applyBorder="1" applyAlignment="1">
      <alignment/>
    </xf>
    <xf numFmtId="167" fontId="5" fillId="33" borderId="13" xfId="0" applyNumberFormat="1" applyFont="1" applyFill="1" applyBorder="1" applyAlignment="1">
      <alignment/>
    </xf>
    <xf numFmtId="167" fontId="5" fillId="37" borderId="28" xfId="0" applyNumberFormat="1" applyFont="1" applyFill="1" applyBorder="1" applyAlignment="1">
      <alignment/>
    </xf>
    <xf numFmtId="167" fontId="5" fillId="47" borderId="29" xfId="0" applyNumberFormat="1" applyFont="1" applyFill="1" applyBorder="1" applyAlignment="1">
      <alignment/>
    </xf>
    <xf numFmtId="167" fontId="5" fillId="47" borderId="30" xfId="0" applyNumberFormat="1" applyFont="1" applyFill="1" applyBorder="1" applyAlignment="1">
      <alignment/>
    </xf>
    <xf numFmtId="167" fontId="8" fillId="0" borderId="44" xfId="0" applyNumberFormat="1" applyFont="1" applyFill="1" applyBorder="1" applyAlignment="1">
      <alignment/>
    </xf>
    <xf numFmtId="167" fontId="5" fillId="0" borderId="45" xfId="0" applyNumberFormat="1" applyFont="1" applyFill="1" applyBorder="1" applyAlignment="1">
      <alignment/>
    </xf>
    <xf numFmtId="167" fontId="5" fillId="48" borderId="4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167" fontId="2" fillId="0" borderId="13" xfId="0" applyNumberFormat="1" applyFont="1" applyBorder="1" applyAlignment="1">
      <alignment/>
    </xf>
    <xf numFmtId="167" fontId="8" fillId="0" borderId="29" xfId="0" applyNumberFormat="1" applyFont="1" applyFill="1" applyBorder="1" applyAlignment="1">
      <alignment/>
    </xf>
    <xf numFmtId="167" fontId="5" fillId="48" borderId="29" xfId="0" applyNumberFormat="1" applyFont="1" applyFill="1" applyBorder="1" applyAlignment="1">
      <alignment/>
    </xf>
    <xf numFmtId="167" fontId="2" fillId="0" borderId="46" xfId="0" applyNumberFormat="1" applyFont="1" applyBorder="1" applyAlignment="1">
      <alignment/>
    </xf>
    <xf numFmtId="167" fontId="2" fillId="35" borderId="36" xfId="0" applyNumberFormat="1" applyFont="1" applyFill="1" applyBorder="1" applyAlignment="1">
      <alignment/>
    </xf>
    <xf numFmtId="167" fontId="5" fillId="47" borderId="38" xfId="0" applyNumberFormat="1" applyFont="1" applyFill="1" applyBorder="1" applyAlignment="1">
      <alignment/>
    </xf>
    <xf numFmtId="167" fontId="5" fillId="47" borderId="39" xfId="0" applyNumberFormat="1" applyFont="1" applyFill="1" applyBorder="1" applyAlignment="1">
      <alignment/>
    </xf>
    <xf numFmtId="167" fontId="8" fillId="0" borderId="38" xfId="0" applyNumberFormat="1" applyFont="1" applyFill="1" applyBorder="1" applyAlignment="1">
      <alignment/>
    </xf>
    <xf numFmtId="167" fontId="5" fillId="0" borderId="47" xfId="0" applyNumberFormat="1" applyFont="1" applyFill="1" applyBorder="1" applyAlignment="1">
      <alignment/>
    </xf>
    <xf numFmtId="167" fontId="5" fillId="48" borderId="38" xfId="0" applyNumberFormat="1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5" fillId="37" borderId="13" xfId="0" applyNumberFormat="1" applyFont="1" applyFill="1" applyBorder="1" applyAlignment="1">
      <alignment/>
    </xf>
    <xf numFmtId="167" fontId="5" fillId="37" borderId="13" xfId="0" applyNumberFormat="1" applyFont="1" applyFill="1" applyBorder="1" applyAlignment="1">
      <alignment/>
    </xf>
    <xf numFmtId="167" fontId="5" fillId="33" borderId="16" xfId="0" applyNumberFormat="1" applyFont="1" applyFill="1" applyBorder="1" applyAlignment="1">
      <alignment/>
    </xf>
    <xf numFmtId="167" fontId="5" fillId="37" borderId="35" xfId="0" applyNumberFormat="1" applyFont="1" applyFill="1" applyBorder="1" applyAlignment="1">
      <alignment/>
    </xf>
    <xf numFmtId="167" fontId="5" fillId="47" borderId="10" xfId="0" applyNumberFormat="1" applyFont="1" applyFill="1" applyBorder="1" applyAlignment="1">
      <alignment/>
    </xf>
    <xf numFmtId="167" fontId="5" fillId="47" borderId="12" xfId="0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/>
    </xf>
    <xf numFmtId="167" fontId="5" fillId="33" borderId="12" xfId="0" applyNumberFormat="1" applyFont="1" applyFill="1" applyBorder="1" applyAlignment="1">
      <alignment/>
    </xf>
    <xf numFmtId="167" fontId="5" fillId="48" borderId="12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167" fontId="2" fillId="36" borderId="13" xfId="0" applyNumberFormat="1" applyFont="1" applyFill="1" applyBorder="1" applyAlignment="1">
      <alignment/>
    </xf>
    <xf numFmtId="167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36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0" fontId="2" fillId="48" borderId="0" xfId="0" applyFont="1" applyFill="1" applyAlignment="1">
      <alignment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41" borderId="29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41" borderId="30" xfId="0" applyFont="1" applyFill="1" applyBorder="1" applyAlignment="1">
      <alignment horizontal="center" vertical="center" wrapText="1"/>
    </xf>
    <xf numFmtId="0" fontId="2" fillId="41" borderId="29" xfId="0" applyFont="1" applyFill="1" applyBorder="1" applyAlignment="1">
      <alignment horizontal="center" vertical="center"/>
    </xf>
    <xf numFmtId="166" fontId="9" fillId="0" borderId="13" xfId="0" applyNumberFormat="1" applyFont="1" applyBorder="1" applyAlignment="1">
      <alignment horizontal="right" vertical="center"/>
    </xf>
    <xf numFmtId="167" fontId="9" fillId="0" borderId="13" xfId="0" applyNumberFormat="1" applyFont="1" applyBorder="1" applyAlignment="1">
      <alignment horizontal="right" vertical="center"/>
    </xf>
    <xf numFmtId="166" fontId="9" fillId="0" borderId="13" xfId="0" applyNumberFormat="1" applyFont="1" applyBorder="1" applyAlignment="1">
      <alignment/>
    </xf>
    <xf numFmtId="167" fontId="9" fillId="0" borderId="30" xfId="0" applyNumberFormat="1" applyFont="1" applyBorder="1" applyAlignment="1">
      <alignment/>
    </xf>
    <xf numFmtId="0" fontId="5" fillId="41" borderId="49" xfId="0" applyFont="1" applyFill="1" applyBorder="1" applyAlignment="1">
      <alignment/>
    </xf>
    <xf numFmtId="166" fontId="10" fillId="41" borderId="50" xfId="0" applyNumberFormat="1" applyFont="1" applyFill="1" applyBorder="1" applyAlignment="1">
      <alignment/>
    </xf>
    <xf numFmtId="167" fontId="10" fillId="41" borderId="50" xfId="0" applyNumberFormat="1" applyFont="1" applyFill="1" applyBorder="1" applyAlignment="1">
      <alignment/>
    </xf>
    <xf numFmtId="167" fontId="10" fillId="41" borderId="51" xfId="0" applyNumberFormat="1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10" fontId="2" fillId="35" borderId="13" xfId="0" applyNumberFormat="1" applyFont="1" applyFill="1" applyBorder="1" applyAlignment="1">
      <alignment/>
    </xf>
    <xf numFmtId="166" fontId="2" fillId="35" borderId="37" xfId="0" applyNumberFormat="1" applyFont="1" applyFill="1" applyBorder="1" applyAlignment="1">
      <alignment/>
    </xf>
    <xf numFmtId="0" fontId="5" fillId="41" borderId="20" xfId="0" applyFont="1" applyFill="1" applyBorder="1" applyAlignment="1">
      <alignment horizontal="center"/>
    </xf>
    <xf numFmtId="0" fontId="5" fillId="41" borderId="21" xfId="0" applyFont="1" applyFill="1" applyBorder="1" applyAlignment="1">
      <alignment horizontal="center"/>
    </xf>
    <xf numFmtId="0" fontId="5" fillId="41" borderId="22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5" fillId="41" borderId="18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50" borderId="13" xfId="0" applyFont="1" applyFill="1" applyBorder="1" applyAlignment="1">
      <alignment horizontal="center" vertical="center" wrapText="1"/>
    </xf>
    <xf numFmtId="0" fontId="5" fillId="51" borderId="13" xfId="0" applyFont="1" applyFill="1" applyBorder="1" applyAlignment="1">
      <alignment horizontal="center" vertical="center"/>
    </xf>
    <xf numFmtId="0" fontId="5" fillId="51" borderId="13" xfId="0" applyFont="1" applyFill="1" applyBorder="1" applyAlignment="1">
      <alignment horizontal="center" vertical="center" wrapText="1"/>
    </xf>
    <xf numFmtId="0" fontId="5" fillId="51" borderId="18" xfId="0" applyFont="1" applyFill="1" applyBorder="1" applyAlignment="1">
      <alignment horizontal="center" vertical="center" wrapText="1"/>
    </xf>
    <xf numFmtId="0" fontId="0" fillId="51" borderId="0" xfId="0" applyFill="1" applyAlignment="1">
      <alignment/>
    </xf>
    <xf numFmtId="167" fontId="2" fillId="33" borderId="13" xfId="0" applyNumberFormat="1" applyFont="1" applyFill="1" applyBorder="1" applyAlignment="1">
      <alignment/>
    </xf>
    <xf numFmtId="167" fontId="12" fillId="50" borderId="13" xfId="0" applyNumberFormat="1" applyFont="1" applyFill="1" applyBorder="1" applyAlignment="1">
      <alignment/>
    </xf>
    <xf numFmtId="167" fontId="12" fillId="33" borderId="13" xfId="0" applyNumberFormat="1" applyFont="1" applyFill="1" applyBorder="1" applyAlignment="1">
      <alignment/>
    </xf>
    <xf numFmtId="167" fontId="12" fillId="0" borderId="13" xfId="0" applyNumberFormat="1" applyFont="1" applyFill="1" applyBorder="1" applyAlignment="1">
      <alignment/>
    </xf>
    <xf numFmtId="167" fontId="12" fillId="52" borderId="13" xfId="0" applyNumberFormat="1" applyFont="1" applyFill="1" applyBorder="1" applyAlignment="1">
      <alignment/>
    </xf>
    <xf numFmtId="167" fontId="2" fillId="37" borderId="13" xfId="0" applyNumberFormat="1" applyFont="1" applyFill="1" applyBorder="1" applyAlignment="1">
      <alignment/>
    </xf>
    <xf numFmtId="167" fontId="8" fillId="44" borderId="13" xfId="0" applyNumberFormat="1" applyFont="1" applyFill="1" applyBorder="1" applyAlignment="1">
      <alignment/>
    </xf>
    <xf numFmtId="167" fontId="8" fillId="33" borderId="13" xfId="0" applyNumberFormat="1" applyFont="1" applyFill="1" applyBorder="1" applyAlignment="1">
      <alignment/>
    </xf>
    <xf numFmtId="167" fontId="2" fillId="34" borderId="34" xfId="0" applyNumberFormat="1" applyFont="1" applyFill="1" applyBorder="1" applyAlignment="1">
      <alignment/>
    </xf>
    <xf numFmtId="167" fontId="5" fillId="43" borderId="29" xfId="0" applyNumberFormat="1" applyFont="1" applyFill="1" applyBorder="1" applyAlignment="1">
      <alignment/>
    </xf>
    <xf numFmtId="167" fontId="5" fillId="43" borderId="30" xfId="0" applyNumberFormat="1" applyFont="1" applyFill="1" applyBorder="1" applyAlignment="1">
      <alignment/>
    </xf>
    <xf numFmtId="167" fontId="8" fillId="50" borderId="13" xfId="0" applyNumberFormat="1" applyFont="1" applyFill="1" applyBorder="1" applyAlignment="1">
      <alignment/>
    </xf>
    <xf numFmtId="167" fontId="8" fillId="52" borderId="13" xfId="0" applyNumberFormat="1" applyFont="1" applyFill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3" fillId="0" borderId="5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9" fontId="6" fillId="0" borderId="0" xfId="0" applyNumberFormat="1" applyFont="1" applyFill="1" applyAlignment="1">
      <alignment horizontal="center"/>
    </xf>
    <xf numFmtId="0" fontId="5" fillId="34" borderId="19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/>
    </xf>
    <xf numFmtId="167" fontId="2" fillId="0" borderId="13" xfId="0" applyNumberFormat="1" applyFont="1" applyFill="1" applyBorder="1" applyAlignment="1">
      <alignment/>
    </xf>
    <xf numFmtId="167" fontId="2" fillId="0" borderId="34" xfId="0" applyNumberFormat="1" applyFont="1" applyFill="1" applyBorder="1" applyAlignment="1">
      <alignment/>
    </xf>
    <xf numFmtId="166" fontId="2" fillId="0" borderId="29" xfId="0" applyNumberFormat="1" applyFont="1" applyFill="1" applyBorder="1" applyAlignment="1">
      <alignment/>
    </xf>
    <xf numFmtId="166" fontId="2" fillId="0" borderId="30" xfId="0" applyNumberFormat="1" applyFont="1" applyFill="1" applyBorder="1" applyAlignment="1">
      <alignment/>
    </xf>
    <xf numFmtId="4" fontId="2" fillId="0" borderId="30" xfId="52" applyNumberFormat="1" applyFont="1" applyBorder="1">
      <alignment/>
      <protection/>
    </xf>
    <xf numFmtId="166" fontId="2" fillId="53" borderId="28" xfId="0" applyNumberFormat="1" applyFont="1" applyFill="1" applyBorder="1" applyAlignment="1">
      <alignment/>
    </xf>
    <xf numFmtId="4" fontId="2" fillId="0" borderId="39" xfId="52" applyNumberFormat="1" applyFont="1" applyBorder="1">
      <alignment/>
      <protection/>
    </xf>
    <xf numFmtId="166" fontId="2" fillId="53" borderId="37" xfId="0" applyNumberFormat="1" applyFont="1" applyFill="1" applyBorder="1" applyAlignment="1">
      <alignment/>
    </xf>
    <xf numFmtId="0" fontId="5" fillId="45" borderId="57" xfId="0" applyFont="1" applyFill="1" applyBorder="1" applyAlignment="1">
      <alignment/>
    </xf>
    <xf numFmtId="0" fontId="5" fillId="45" borderId="58" xfId="0" applyFont="1" applyFill="1" applyBorder="1" applyAlignment="1">
      <alignment/>
    </xf>
    <xf numFmtId="0" fontId="5" fillId="45" borderId="5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5" borderId="13" xfId="0" applyNumberFormat="1" applyFont="1" applyFill="1" applyBorder="1" applyAlignment="1">
      <alignment horizontal="center" vertical="center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49" borderId="13" xfId="0" applyFont="1" applyFill="1" applyBorder="1" applyAlignment="1">
      <alignment horizontal="center" vertical="center"/>
    </xf>
    <xf numFmtId="0" fontId="5" fillId="51" borderId="28" xfId="0" applyFont="1" applyFill="1" applyBorder="1" applyAlignment="1">
      <alignment horizontal="center" vertical="center" wrapText="1"/>
    </xf>
    <xf numFmtId="167" fontId="2" fillId="34" borderId="28" xfId="0" applyNumberFormat="1" applyFont="1" applyFill="1" applyBorder="1" applyAlignment="1">
      <alignment/>
    </xf>
    <xf numFmtId="167" fontId="2" fillId="53" borderId="13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167" fontId="2" fillId="53" borderId="36" xfId="0" applyNumberFormat="1" applyFont="1" applyFill="1" applyBorder="1" applyAlignment="1">
      <alignment/>
    </xf>
    <xf numFmtId="167" fontId="2" fillId="0" borderId="18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0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10" fontId="15" fillId="38" borderId="60" xfId="0" applyNumberFormat="1" applyFont="1" applyFill="1" applyBorder="1" applyAlignment="1">
      <alignment/>
    </xf>
    <xf numFmtId="10" fontId="15" fillId="38" borderId="60" xfId="0" applyNumberFormat="1" applyFont="1" applyFill="1" applyBorder="1" applyAlignment="1" applyProtection="1">
      <alignment/>
      <protection locked="0"/>
    </xf>
    <xf numFmtId="168" fontId="15" fillId="0" borderId="60" xfId="0" applyNumberFormat="1" applyFont="1" applyBorder="1" applyAlignment="1">
      <alignment/>
    </xf>
    <xf numFmtId="168" fontId="15" fillId="0" borderId="0" xfId="0" applyNumberFormat="1" applyFont="1" applyAlignment="1">
      <alignment/>
    </xf>
    <xf numFmtId="0" fontId="11" fillId="43" borderId="18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43" borderId="13" xfId="0" applyFont="1" applyFill="1" applyBorder="1" applyAlignment="1">
      <alignment horizontal="center" vertical="center"/>
    </xf>
    <xf numFmtId="167" fontId="0" fillId="0" borderId="13" xfId="0" applyNumberFormat="1" applyBorder="1" applyAlignment="1">
      <alignment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168" fontId="15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right" vertical="center" wrapText="1"/>
    </xf>
    <xf numFmtId="0" fontId="14" fillId="0" borderId="60" xfId="0" applyFont="1" applyBorder="1" applyAlignment="1">
      <alignment horizontal="center"/>
    </xf>
    <xf numFmtId="4" fontId="14" fillId="0" borderId="60" xfId="0" applyNumberFormat="1" applyFont="1" applyBorder="1" applyAlignment="1">
      <alignment horizontal="center"/>
    </xf>
    <xf numFmtId="10" fontId="14" fillId="0" borderId="60" xfId="0" applyNumberFormat="1" applyFont="1" applyBorder="1" applyAlignment="1">
      <alignment horizontal="center"/>
    </xf>
    <xf numFmtId="4" fontId="14" fillId="0" borderId="60" xfId="0" applyNumberFormat="1" applyFont="1" applyBorder="1" applyAlignment="1">
      <alignment horizontal="right"/>
    </xf>
    <xf numFmtId="3" fontId="14" fillId="0" borderId="60" xfId="0" applyNumberFormat="1" applyFont="1" applyBorder="1" applyAlignment="1">
      <alignment horizontal="center"/>
    </xf>
    <xf numFmtId="0" fontId="14" fillId="0" borderId="60" xfId="0" applyFont="1" applyBorder="1" applyAlignment="1">
      <alignment horizontal="center" wrapText="1"/>
    </xf>
    <xf numFmtId="4" fontId="14" fillId="0" borderId="60" xfId="0" applyNumberFormat="1" applyFont="1" applyBorder="1" applyAlignment="1">
      <alignment horizontal="center" wrapText="1"/>
    </xf>
    <xf numFmtId="10" fontId="14" fillId="0" borderId="60" xfId="0" applyNumberFormat="1" applyFont="1" applyBorder="1" applyAlignment="1">
      <alignment horizontal="center" wrapText="1"/>
    </xf>
    <xf numFmtId="4" fontId="14" fillId="0" borderId="60" xfId="0" applyNumberFormat="1" applyFont="1" applyBorder="1" applyAlignment="1">
      <alignment horizontal="right" wrapText="1"/>
    </xf>
    <xf numFmtId="3" fontId="14" fillId="0" borderId="60" xfId="0" applyNumberFormat="1" applyFont="1" applyBorder="1" applyAlignment="1">
      <alignment horizontal="center" wrapText="1"/>
    </xf>
    <xf numFmtId="0" fontId="14" fillId="0" borderId="60" xfId="0" applyFont="1" applyBorder="1" applyAlignment="1">
      <alignment horizontal="right"/>
    </xf>
    <xf numFmtId="4" fontId="15" fillId="0" borderId="60" xfId="0" applyNumberFormat="1" applyFont="1" applyBorder="1" applyAlignment="1">
      <alignment/>
    </xf>
    <xf numFmtId="4" fontId="14" fillId="0" borderId="60" xfId="0" applyNumberFormat="1" applyFont="1" applyBorder="1" applyAlignment="1">
      <alignment/>
    </xf>
    <xf numFmtId="10" fontId="15" fillId="0" borderId="60" xfId="0" applyNumberFormat="1" applyFont="1" applyBorder="1" applyAlignment="1">
      <alignment/>
    </xf>
    <xf numFmtId="4" fontId="15" fillId="0" borderId="60" xfId="0" applyNumberFormat="1" applyFont="1" applyBorder="1" applyAlignment="1">
      <alignment horizontal="right"/>
    </xf>
    <xf numFmtId="3" fontId="15" fillId="0" borderId="60" xfId="0" applyNumberFormat="1" applyFont="1" applyBorder="1" applyAlignment="1">
      <alignment/>
    </xf>
    <xf numFmtId="168" fontId="15" fillId="0" borderId="60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/>
    </xf>
    <xf numFmtId="10" fontId="14" fillId="0" borderId="60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0" fontId="15" fillId="0" borderId="60" xfId="0" applyFont="1" applyBorder="1" applyAlignment="1">
      <alignment/>
    </xf>
    <xf numFmtId="0" fontId="14" fillId="33" borderId="60" xfId="0" applyFont="1" applyFill="1" applyBorder="1" applyAlignment="1">
      <alignment horizontal="center" wrapText="1"/>
    </xf>
    <xf numFmtId="4" fontId="14" fillId="33" borderId="60" xfId="0" applyNumberFormat="1" applyFont="1" applyFill="1" applyBorder="1" applyAlignment="1">
      <alignment horizontal="center" wrapText="1"/>
    </xf>
    <xf numFmtId="10" fontId="14" fillId="33" borderId="60" xfId="0" applyNumberFormat="1" applyFont="1" applyFill="1" applyBorder="1" applyAlignment="1">
      <alignment horizontal="center" wrapText="1"/>
    </xf>
    <xf numFmtId="4" fontId="14" fillId="33" borderId="60" xfId="0" applyNumberFormat="1" applyFont="1" applyFill="1" applyBorder="1" applyAlignment="1">
      <alignment horizontal="right" wrapText="1"/>
    </xf>
    <xf numFmtId="0" fontId="14" fillId="33" borderId="60" xfId="0" applyFont="1" applyFill="1" applyBorder="1" applyAlignment="1">
      <alignment horizontal="right"/>
    </xf>
    <xf numFmtId="4" fontId="15" fillId="33" borderId="60" xfId="0" applyNumberFormat="1" applyFont="1" applyFill="1" applyBorder="1" applyAlignment="1">
      <alignment/>
    </xf>
    <xf numFmtId="10" fontId="15" fillId="33" borderId="60" xfId="0" applyNumberFormat="1" applyFont="1" applyFill="1" applyBorder="1" applyAlignment="1">
      <alignment/>
    </xf>
    <xf numFmtId="4" fontId="15" fillId="33" borderId="60" xfId="0" applyNumberFormat="1" applyFont="1" applyFill="1" applyBorder="1" applyAlignment="1">
      <alignment horizontal="right"/>
    </xf>
    <xf numFmtId="168" fontId="15" fillId="33" borderId="60" xfId="0" applyNumberFormat="1" applyFont="1" applyFill="1" applyBorder="1" applyAlignment="1">
      <alignment horizontal="right"/>
    </xf>
    <xf numFmtId="10" fontId="15" fillId="33" borderId="60" xfId="55" applyNumberFormat="1" applyFont="1" applyFill="1" applyBorder="1" applyAlignment="1" applyProtection="1">
      <alignment/>
      <protection/>
    </xf>
    <xf numFmtId="168" fontId="14" fillId="33" borderId="60" xfId="0" applyNumberFormat="1" applyFont="1" applyFill="1" applyBorder="1" applyAlignment="1">
      <alignment horizontal="left"/>
    </xf>
    <xf numFmtId="4" fontId="14" fillId="33" borderId="60" xfId="0" applyNumberFormat="1" applyFont="1" applyFill="1" applyBorder="1" applyAlignment="1">
      <alignment/>
    </xf>
    <xf numFmtId="10" fontId="14" fillId="33" borderId="60" xfId="0" applyNumberFormat="1" applyFont="1" applyFill="1" applyBorder="1" applyAlignment="1">
      <alignment/>
    </xf>
    <xf numFmtId="4" fontId="14" fillId="33" borderId="60" xfId="0" applyNumberFormat="1" applyFont="1" applyFill="1" applyBorder="1" applyAlignment="1">
      <alignment horizontal="right"/>
    </xf>
    <xf numFmtId="167" fontId="11" fillId="0" borderId="13" xfId="0" applyNumberFormat="1" applyFont="1" applyBorder="1" applyAlignment="1">
      <alignment vertical="center"/>
    </xf>
    <xf numFmtId="168" fontId="15" fillId="0" borderId="60" xfId="0" applyNumberFormat="1" applyFont="1" applyBorder="1" applyAlignment="1">
      <alignment horizontal="right"/>
    </xf>
    <xf numFmtId="10" fontId="15" fillId="0" borderId="60" xfId="55" applyNumberFormat="1" applyFont="1" applyFill="1" applyBorder="1" applyAlignment="1" applyProtection="1">
      <alignment/>
      <protection/>
    </xf>
    <xf numFmtId="168" fontId="14" fillId="0" borderId="60" xfId="0" applyNumberFormat="1" applyFont="1" applyBorder="1" applyAlignment="1">
      <alignment horizontal="left"/>
    </xf>
    <xf numFmtId="168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168" fontId="17" fillId="0" borderId="0" xfId="0" applyNumberFormat="1" applyFont="1" applyBorder="1" applyAlignment="1">
      <alignment horizontal="left"/>
    </xf>
    <xf numFmtId="4" fontId="17" fillId="0" borderId="0" xfId="0" applyNumberFormat="1" applyFont="1" applyBorder="1" applyAlignment="1">
      <alignment/>
    </xf>
    <xf numFmtId="10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right"/>
    </xf>
    <xf numFmtId="9" fontId="6" fillId="35" borderId="16" xfId="0" applyNumberFormat="1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36" borderId="61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63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42" borderId="24" xfId="0" applyFont="1" applyFill="1" applyBorder="1" applyAlignment="1">
      <alignment horizontal="center" vertical="center" wrapText="1"/>
    </xf>
    <xf numFmtId="0" fontId="5" fillId="37" borderId="64" xfId="0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166" fontId="2" fillId="0" borderId="44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34" borderId="34" xfId="0" applyNumberFormat="1" applyFont="1" applyFill="1" applyBorder="1" applyAlignment="1">
      <alignment/>
    </xf>
    <xf numFmtId="166" fontId="7" fillId="35" borderId="33" xfId="0" applyNumberFormat="1" applyFont="1" applyFill="1" applyBorder="1" applyAlignment="1">
      <alignment/>
    </xf>
    <xf numFmtId="166" fontId="2" fillId="34" borderId="30" xfId="0" applyNumberFormat="1" applyFont="1" applyFill="1" applyBorder="1" applyAlignment="1">
      <alignment/>
    </xf>
    <xf numFmtId="166" fontId="2" fillId="34" borderId="65" xfId="0" applyNumberFormat="1" applyFont="1" applyFill="1" applyBorder="1" applyAlignment="1">
      <alignment/>
    </xf>
    <xf numFmtId="166" fontId="5" fillId="33" borderId="32" xfId="0" applyNumberFormat="1" applyFont="1" applyFill="1" applyBorder="1" applyAlignment="1">
      <alignment/>
    </xf>
    <xf numFmtId="166" fontId="5" fillId="37" borderId="34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166" fontId="2" fillId="0" borderId="36" xfId="0" applyNumberFormat="1" applyFont="1" applyFill="1" applyBorder="1" applyAlignment="1">
      <alignment/>
    </xf>
    <xf numFmtId="166" fontId="2" fillId="0" borderId="28" xfId="0" applyNumberFormat="1" applyFont="1" applyFill="1" applyBorder="1" applyAlignment="1">
      <alignment/>
    </xf>
    <xf numFmtId="4" fontId="2" fillId="0" borderId="32" xfId="52" applyNumberFormat="1" applyFont="1" applyBorder="1">
      <alignment/>
      <protection/>
    </xf>
    <xf numFmtId="166" fontId="2" fillId="35" borderId="33" xfId="0" applyNumberFormat="1" applyFont="1" applyFill="1" applyBorder="1" applyAlignment="1">
      <alignment/>
    </xf>
    <xf numFmtId="166" fontId="2" fillId="34" borderId="33" xfId="0" applyNumberFormat="1" applyFont="1" applyFill="1" applyBorder="1" applyAlignment="1">
      <alignment/>
    </xf>
    <xf numFmtId="167" fontId="5" fillId="33" borderId="32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166" fontId="2" fillId="0" borderId="20" xfId="0" applyNumberFormat="1" applyFont="1" applyBorder="1" applyAlignment="1">
      <alignment/>
    </xf>
    <xf numFmtId="166" fontId="2" fillId="0" borderId="22" xfId="0" applyNumberFormat="1" applyFont="1" applyFill="1" applyBorder="1" applyAlignment="1">
      <alignment/>
    </xf>
    <xf numFmtId="166" fontId="2" fillId="53" borderId="33" xfId="0" applyNumberFormat="1" applyFont="1" applyFill="1" applyBorder="1" applyAlignment="1">
      <alignment/>
    </xf>
    <xf numFmtId="166" fontId="2" fillId="53" borderId="30" xfId="0" applyNumberFormat="1" applyFont="1" applyFill="1" applyBorder="1" applyAlignment="1">
      <alignment/>
    </xf>
    <xf numFmtId="0" fontId="2" fillId="0" borderId="35" xfId="0" applyFont="1" applyBorder="1" applyAlignment="1">
      <alignment horizontal="left" vertical="center"/>
    </xf>
    <xf numFmtId="166" fontId="2" fillId="0" borderId="48" xfId="0" applyNumberFormat="1" applyFont="1" applyBorder="1" applyAlignment="1">
      <alignment/>
    </xf>
    <xf numFmtId="166" fontId="2" fillId="34" borderId="66" xfId="0" applyNumberFormat="1" applyFont="1" applyFill="1" applyBorder="1" applyAlignment="1">
      <alignment/>
    </xf>
    <xf numFmtId="166" fontId="2" fillId="53" borderId="29" xfId="0" applyNumberFormat="1" applyFont="1" applyFill="1" applyBorder="1" applyAlignment="1">
      <alignment/>
    </xf>
    <xf numFmtId="166" fontId="2" fillId="53" borderId="13" xfId="0" applyNumberFormat="1" applyFont="1" applyFill="1" applyBorder="1" applyAlignment="1">
      <alignment/>
    </xf>
    <xf numFmtId="166" fontId="2" fillId="34" borderId="29" xfId="0" applyNumberFormat="1" applyFont="1" applyFill="1" applyBorder="1" applyAlignment="1">
      <alignment/>
    </xf>
    <xf numFmtId="166" fontId="5" fillId="37" borderId="35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34" borderId="0" xfId="0" applyNumberFormat="1" applyFont="1" applyFill="1" applyBorder="1" applyAlignment="1">
      <alignment/>
    </xf>
    <xf numFmtId="166" fontId="2" fillId="0" borderId="49" xfId="0" applyNumberFormat="1" applyFont="1" applyBorder="1" applyAlignment="1">
      <alignment/>
    </xf>
    <xf numFmtId="166" fontId="2" fillId="0" borderId="51" xfId="0" applyNumberFormat="1" applyFont="1" applyBorder="1" applyAlignment="1">
      <alignment/>
    </xf>
    <xf numFmtId="166" fontId="2" fillId="0" borderId="50" xfId="0" applyNumberFormat="1" applyFont="1" applyBorder="1" applyAlignment="1">
      <alignment/>
    </xf>
    <xf numFmtId="166" fontId="2" fillId="0" borderId="67" xfId="0" applyNumberFormat="1" applyFont="1" applyBorder="1" applyAlignment="1">
      <alignment/>
    </xf>
    <xf numFmtId="4" fontId="2" fillId="0" borderId="52" xfId="52" applyNumberFormat="1" applyFont="1" applyBorder="1">
      <alignment/>
      <protection/>
    </xf>
    <xf numFmtId="166" fontId="2" fillId="43" borderId="52" xfId="0" applyNumberFormat="1" applyFont="1" applyFill="1" applyBorder="1" applyAlignment="1">
      <alignment/>
    </xf>
    <xf numFmtId="166" fontId="2" fillId="53" borderId="49" xfId="0" applyNumberFormat="1" applyFont="1" applyFill="1" applyBorder="1" applyAlignment="1">
      <alignment/>
    </xf>
    <xf numFmtId="166" fontId="2" fillId="53" borderId="50" xfId="0" applyNumberFormat="1" applyFont="1" applyFill="1" applyBorder="1" applyAlignment="1">
      <alignment/>
    </xf>
    <xf numFmtId="166" fontId="2" fillId="53" borderId="51" xfId="0" applyNumberFormat="1" applyFont="1" applyFill="1" applyBorder="1" applyAlignment="1">
      <alignment/>
    </xf>
    <xf numFmtId="166" fontId="2" fillId="34" borderId="49" xfId="0" applyNumberFormat="1" applyFont="1" applyFill="1" applyBorder="1" applyAlignment="1">
      <alignment/>
    </xf>
    <xf numFmtId="167" fontId="5" fillId="33" borderId="68" xfId="0" applyNumberFormat="1" applyFont="1" applyFill="1" applyBorder="1" applyAlignment="1">
      <alignment/>
    </xf>
    <xf numFmtId="166" fontId="2" fillId="0" borderId="52" xfId="0" applyNumberFormat="1" applyFont="1" applyBorder="1" applyAlignment="1">
      <alignment/>
    </xf>
    <xf numFmtId="166" fontId="5" fillId="33" borderId="17" xfId="0" applyNumberFormat="1" applyFont="1" applyFill="1" applyBorder="1" applyAlignment="1">
      <alignment/>
    </xf>
    <xf numFmtId="166" fontId="5" fillId="33" borderId="69" xfId="0" applyNumberFormat="1" applyFont="1" applyFill="1" applyBorder="1" applyAlignment="1">
      <alignment/>
    </xf>
    <xf numFmtId="166" fontId="8" fillId="37" borderId="53" xfId="0" applyNumberFormat="1" applyFont="1" applyFill="1" applyBorder="1" applyAlignment="1">
      <alignment/>
    </xf>
    <xf numFmtId="166" fontId="5" fillId="33" borderId="53" xfId="0" applyNumberFormat="1" applyFont="1" applyFill="1" applyBorder="1" applyAlignment="1">
      <alignment/>
    </xf>
    <xf numFmtId="0" fontId="2" fillId="0" borderId="53" xfId="0" applyFont="1" applyBorder="1" applyAlignment="1">
      <alignment/>
    </xf>
    <xf numFmtId="0" fontId="5" fillId="33" borderId="27" xfId="0" applyFont="1" applyFill="1" applyBorder="1" applyAlignment="1">
      <alignment/>
    </xf>
    <xf numFmtId="0" fontId="5" fillId="49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41" borderId="2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42" borderId="35" xfId="0" applyFont="1" applyFill="1" applyBorder="1" applyAlignment="1">
      <alignment horizontal="center" vertical="center" wrapText="1"/>
    </xf>
    <xf numFmtId="167" fontId="2" fillId="49" borderId="28" xfId="0" applyNumberFormat="1" applyFont="1" applyFill="1" applyBorder="1" applyAlignment="1">
      <alignment/>
    </xf>
    <xf numFmtId="167" fontId="2" fillId="43" borderId="32" xfId="0" applyNumberFormat="1" applyFont="1" applyFill="1" applyBorder="1" applyAlignment="1">
      <alignment/>
    </xf>
    <xf numFmtId="167" fontId="2" fillId="34" borderId="35" xfId="0" applyNumberFormat="1" applyFont="1" applyFill="1" applyBorder="1" applyAlignment="1">
      <alignment/>
    </xf>
    <xf numFmtId="0" fontId="5" fillId="51" borderId="70" xfId="0" applyFont="1" applyFill="1" applyBorder="1" applyAlignment="1">
      <alignment horizontal="center" vertical="center" wrapText="1"/>
    </xf>
    <xf numFmtId="167" fontId="5" fillId="47" borderId="31" xfId="0" applyNumberFormat="1" applyFont="1" applyFill="1" applyBorder="1" applyAlignment="1">
      <alignment/>
    </xf>
    <xf numFmtId="167" fontId="2" fillId="34" borderId="32" xfId="0" applyNumberFormat="1" applyFont="1" applyFill="1" applyBorder="1" applyAlignment="1">
      <alignment/>
    </xf>
    <xf numFmtId="167" fontId="5" fillId="43" borderId="40" xfId="0" applyNumberFormat="1" applyFont="1" applyFill="1" applyBorder="1" applyAlignment="1">
      <alignment/>
    </xf>
    <xf numFmtId="167" fontId="2" fillId="53" borderId="28" xfId="0" applyNumberFormat="1" applyFont="1" applyFill="1" applyBorder="1" applyAlignment="1">
      <alignment/>
    </xf>
    <xf numFmtId="167" fontId="5" fillId="43" borderId="23" xfId="0" applyNumberFormat="1" applyFont="1" applyFill="1" applyBorder="1" applyAlignment="1">
      <alignment/>
    </xf>
    <xf numFmtId="167" fontId="12" fillId="50" borderId="35" xfId="0" applyNumberFormat="1" applyFont="1" applyFill="1" applyBorder="1" applyAlignment="1">
      <alignment/>
    </xf>
    <xf numFmtId="167" fontId="2" fillId="53" borderId="0" xfId="0" applyNumberFormat="1" applyFont="1" applyFill="1" applyBorder="1" applyAlignment="1">
      <alignment/>
    </xf>
    <xf numFmtId="167" fontId="12" fillId="0" borderId="36" xfId="0" applyNumberFormat="1" applyFont="1" applyFill="1" applyBorder="1" applyAlignment="1">
      <alignment/>
    </xf>
    <xf numFmtId="167" fontId="5" fillId="37" borderId="52" xfId="0" applyNumberFormat="1" applyFont="1" applyFill="1" applyBorder="1" applyAlignment="1">
      <alignment/>
    </xf>
    <xf numFmtId="167" fontId="5" fillId="33" borderId="34" xfId="0" applyNumberFormat="1" applyFont="1" applyFill="1" applyBorder="1" applyAlignment="1">
      <alignment/>
    </xf>
    <xf numFmtId="167" fontId="5" fillId="33" borderId="52" xfId="0" applyNumberFormat="1" applyFont="1" applyFill="1" applyBorder="1" applyAlignment="1">
      <alignment/>
    </xf>
    <xf numFmtId="167" fontId="8" fillId="50" borderId="35" xfId="0" applyNumberFormat="1" applyFont="1" applyFill="1" applyBorder="1" applyAlignment="1">
      <alignment/>
    </xf>
    <xf numFmtId="167" fontId="5" fillId="33" borderId="11" xfId="0" applyNumberFormat="1" applyFont="1" applyFill="1" applyBorder="1" applyAlignment="1">
      <alignment/>
    </xf>
    <xf numFmtId="0" fontId="1" fillId="0" borderId="0" xfId="52">
      <alignment/>
      <protection/>
    </xf>
    <xf numFmtId="168" fontId="18" fillId="34" borderId="13" xfId="52" applyNumberFormat="1" applyFont="1" applyFill="1" applyBorder="1" applyAlignment="1">
      <alignment horizontal="center" vertical="center" wrapText="1"/>
      <protection/>
    </xf>
    <xf numFmtId="0" fontId="1" fillId="36" borderId="0" xfId="52" applyFill="1">
      <alignment/>
      <protection/>
    </xf>
    <xf numFmtId="0" fontId="1" fillId="0" borderId="0" xfId="52" applyBorder="1">
      <alignment/>
      <protection/>
    </xf>
    <xf numFmtId="0" fontId="22" fillId="0" borderId="0" xfId="52" applyFont="1" applyBorder="1">
      <alignment/>
      <protection/>
    </xf>
    <xf numFmtId="169" fontId="18" fillId="43" borderId="26" xfId="52" applyNumberFormat="1" applyFont="1" applyFill="1" applyBorder="1" applyAlignment="1">
      <alignment horizontal="center" vertical="center"/>
      <protection/>
    </xf>
    <xf numFmtId="0" fontId="18" fillId="43" borderId="26" xfId="52" applyFont="1" applyFill="1" applyBorder="1" applyAlignment="1">
      <alignment horizontal="center" vertical="center" wrapText="1"/>
      <protection/>
    </xf>
    <xf numFmtId="169" fontId="8" fillId="34" borderId="13" xfId="52" applyNumberFormat="1" applyFont="1" applyFill="1" applyBorder="1" applyAlignment="1">
      <alignment horizontal="center" vertical="center"/>
      <protection/>
    </xf>
    <xf numFmtId="169" fontId="8" fillId="34" borderId="30" xfId="52" applyNumberFormat="1" applyFont="1" applyFill="1" applyBorder="1" applyAlignment="1">
      <alignment horizontal="center" vertical="center"/>
      <protection/>
    </xf>
    <xf numFmtId="169" fontId="8" fillId="34" borderId="46" xfId="52" applyNumberFormat="1" applyFont="1" applyFill="1" applyBorder="1" applyAlignment="1">
      <alignment horizontal="center" vertical="center"/>
      <protection/>
    </xf>
    <xf numFmtId="169" fontId="8" fillId="34" borderId="47" xfId="52" applyNumberFormat="1" applyFont="1" applyFill="1" applyBorder="1" applyAlignment="1">
      <alignment horizontal="center" vertical="center" wrapText="1"/>
      <protection/>
    </xf>
    <xf numFmtId="168" fontId="23" fillId="34" borderId="20" xfId="52" applyNumberFormat="1" applyFont="1" applyFill="1" applyBorder="1" applyAlignment="1">
      <alignment vertical="center"/>
      <protection/>
    </xf>
    <xf numFmtId="10" fontId="24" fillId="34" borderId="21" xfId="52" applyNumberFormat="1" applyFont="1" applyFill="1" applyBorder="1" applyAlignment="1">
      <alignment horizontal="center" vertical="center"/>
      <protection/>
    </xf>
    <xf numFmtId="10" fontId="25" fillId="34" borderId="21" xfId="52" applyNumberFormat="1" applyFont="1" applyFill="1" applyBorder="1" applyAlignment="1">
      <alignment vertical="center"/>
      <protection/>
    </xf>
    <xf numFmtId="10" fontId="25" fillId="34" borderId="21" xfId="52" applyNumberFormat="1" applyFont="1" applyFill="1" applyBorder="1" applyAlignment="1">
      <alignment horizontal="center" vertical="center"/>
      <protection/>
    </xf>
    <xf numFmtId="4" fontId="20" fillId="34" borderId="21" xfId="52" applyNumberFormat="1" applyFont="1" applyFill="1" applyBorder="1" applyAlignment="1">
      <alignment horizontal="center" vertical="center"/>
      <protection/>
    </xf>
    <xf numFmtId="4" fontId="23" fillId="34" borderId="21" xfId="52" applyNumberFormat="1" applyFont="1" applyFill="1" applyBorder="1" applyAlignment="1">
      <alignment horizontal="right" vertical="center"/>
      <protection/>
    </xf>
    <xf numFmtId="4" fontId="25" fillId="34" borderId="21" xfId="52" applyNumberFormat="1" applyFont="1" applyFill="1" applyBorder="1" applyAlignment="1">
      <alignment horizontal="center" vertical="center"/>
      <protection/>
    </xf>
    <xf numFmtId="3" fontId="25" fillId="34" borderId="21" xfId="52" applyNumberFormat="1" applyFont="1" applyFill="1" applyBorder="1" applyAlignment="1">
      <alignment vertical="center"/>
      <protection/>
    </xf>
    <xf numFmtId="4" fontId="25" fillId="34" borderId="22" xfId="52" applyNumberFormat="1" applyFont="1" applyFill="1" applyBorder="1" applyAlignment="1">
      <alignment vertical="center"/>
      <protection/>
    </xf>
    <xf numFmtId="0" fontId="6" fillId="0" borderId="0" xfId="52" applyFont="1">
      <alignment/>
      <protection/>
    </xf>
    <xf numFmtId="168" fontId="18" fillId="34" borderId="49" xfId="52" applyNumberFormat="1" applyFont="1" applyFill="1" applyBorder="1" applyAlignment="1">
      <alignment vertical="center"/>
      <protection/>
    </xf>
    <xf numFmtId="10" fontId="19" fillId="34" borderId="50" xfId="52" applyNumberFormat="1" applyFont="1" applyFill="1" applyBorder="1" applyAlignment="1">
      <alignment horizontal="center" vertical="center"/>
      <protection/>
    </xf>
    <xf numFmtId="10" fontId="18" fillId="34" borderId="50" xfId="52" applyNumberFormat="1" applyFont="1" applyFill="1" applyBorder="1" applyAlignment="1">
      <alignment vertical="center"/>
      <protection/>
    </xf>
    <xf numFmtId="10" fontId="18" fillId="34" borderId="50" xfId="52" applyNumberFormat="1" applyFont="1" applyFill="1" applyBorder="1" applyAlignment="1">
      <alignment horizontal="center" vertical="center"/>
      <protection/>
    </xf>
    <xf numFmtId="4" fontId="18" fillId="34" borderId="50" xfId="52" applyNumberFormat="1" applyFont="1" applyFill="1" applyBorder="1" applyAlignment="1">
      <alignment horizontal="center" vertical="center"/>
      <protection/>
    </xf>
    <xf numFmtId="4" fontId="18" fillId="34" borderId="50" xfId="52" applyNumberFormat="1" applyFont="1" applyFill="1" applyBorder="1" applyAlignment="1">
      <alignment horizontal="right" vertical="center"/>
      <protection/>
    </xf>
    <xf numFmtId="3" fontId="18" fillId="34" borderId="50" xfId="52" applyNumberFormat="1" applyFont="1" applyFill="1" applyBorder="1" applyAlignment="1">
      <alignment vertical="center"/>
      <protection/>
    </xf>
    <xf numFmtId="4" fontId="18" fillId="34" borderId="51" xfId="52" applyNumberFormat="1" applyFont="1" applyFill="1" applyBorder="1" applyAlignment="1">
      <alignment vertical="center"/>
      <protection/>
    </xf>
    <xf numFmtId="4" fontId="1" fillId="0" borderId="0" xfId="52" applyNumberFormat="1" applyFont="1">
      <alignment/>
      <protection/>
    </xf>
    <xf numFmtId="0" fontId="1" fillId="0" borderId="0" xfId="52" applyFont="1">
      <alignment/>
      <protection/>
    </xf>
    <xf numFmtId="168" fontId="25" fillId="36" borderId="20" xfId="52" applyNumberFormat="1" applyFont="1" applyFill="1" applyBorder="1" applyAlignment="1">
      <alignment vertical="center"/>
      <protection/>
    </xf>
    <xf numFmtId="10" fontId="24" fillId="36" borderId="21" xfId="52" applyNumberFormat="1" applyFont="1" applyFill="1" applyBorder="1" applyAlignment="1">
      <alignment horizontal="center" vertical="center"/>
      <protection/>
    </xf>
    <xf numFmtId="10" fontId="25" fillId="36" borderId="21" xfId="52" applyNumberFormat="1" applyFont="1" applyFill="1" applyBorder="1" applyAlignment="1">
      <alignment vertical="center"/>
      <protection/>
    </xf>
    <xf numFmtId="10" fontId="25" fillId="36" borderId="21" xfId="52" applyNumberFormat="1" applyFont="1" applyFill="1" applyBorder="1" applyAlignment="1">
      <alignment horizontal="center" vertical="center"/>
      <protection/>
    </xf>
    <xf numFmtId="4" fontId="25" fillId="36" borderId="21" xfId="52" applyNumberFormat="1" applyFont="1" applyFill="1" applyBorder="1" applyAlignment="1">
      <alignment horizontal="center" vertical="center"/>
      <protection/>
    </xf>
    <xf numFmtId="4" fontId="25" fillId="36" borderId="21" xfId="52" applyNumberFormat="1" applyFont="1" applyFill="1" applyBorder="1" applyAlignment="1">
      <alignment horizontal="right" vertical="center"/>
      <protection/>
    </xf>
    <xf numFmtId="3" fontId="25" fillId="36" borderId="21" xfId="52" applyNumberFormat="1" applyFont="1" applyFill="1" applyBorder="1" applyAlignment="1">
      <alignment vertical="center"/>
      <protection/>
    </xf>
    <xf numFmtId="4" fontId="25" fillId="36" borderId="22" xfId="52" applyNumberFormat="1" applyFont="1" applyFill="1" applyBorder="1" applyAlignment="1">
      <alignment vertical="center"/>
      <protection/>
    </xf>
    <xf numFmtId="168" fontId="25" fillId="36" borderId="29" xfId="52" applyNumberFormat="1" applyFont="1" applyFill="1" applyBorder="1" applyAlignment="1">
      <alignment vertical="center"/>
      <protection/>
    </xf>
    <xf numFmtId="10" fontId="24" fillId="36" borderId="13" xfId="52" applyNumberFormat="1" applyFont="1" applyFill="1" applyBorder="1" applyAlignment="1">
      <alignment horizontal="center" vertical="center"/>
      <protection/>
    </xf>
    <xf numFmtId="10" fontId="25" fillId="36" borderId="13" xfId="52" applyNumberFormat="1" applyFont="1" applyFill="1" applyBorder="1" applyAlignment="1">
      <alignment vertical="center"/>
      <protection/>
    </xf>
    <xf numFmtId="10" fontId="25" fillId="36" borderId="13" xfId="52" applyNumberFormat="1" applyFont="1" applyFill="1" applyBorder="1" applyAlignment="1">
      <alignment horizontal="center" vertical="center"/>
      <protection/>
    </xf>
    <xf numFmtId="4" fontId="25" fillId="36" borderId="13" xfId="52" applyNumberFormat="1" applyFont="1" applyFill="1" applyBorder="1" applyAlignment="1">
      <alignment horizontal="center" vertical="center"/>
      <protection/>
    </xf>
    <xf numFmtId="4" fontId="25" fillId="36" borderId="13" xfId="52" applyNumberFormat="1" applyFont="1" applyFill="1" applyBorder="1" applyAlignment="1">
      <alignment horizontal="right" vertical="center"/>
      <protection/>
    </xf>
    <xf numFmtId="3" fontId="25" fillId="36" borderId="13" xfId="52" applyNumberFormat="1" applyFont="1" applyFill="1" applyBorder="1" applyAlignment="1">
      <alignment vertical="center"/>
      <protection/>
    </xf>
    <xf numFmtId="4" fontId="25" fillId="36" borderId="30" xfId="52" applyNumberFormat="1" applyFont="1" applyFill="1" applyBorder="1" applyAlignment="1">
      <alignment vertical="center"/>
      <protection/>
    </xf>
    <xf numFmtId="4" fontId="26" fillId="0" borderId="0" xfId="52" applyNumberFormat="1" applyFont="1">
      <alignment/>
      <protection/>
    </xf>
    <xf numFmtId="0" fontId="26" fillId="0" borderId="0" xfId="52" applyFont="1">
      <alignment/>
      <protection/>
    </xf>
    <xf numFmtId="168" fontId="23" fillId="36" borderId="29" xfId="52" applyNumberFormat="1" applyFont="1" applyFill="1" applyBorder="1" applyAlignment="1">
      <alignment vertical="center"/>
      <protection/>
    </xf>
    <xf numFmtId="4" fontId="23" fillId="36" borderId="13" xfId="52" applyNumberFormat="1" applyFont="1" applyFill="1" applyBorder="1" applyAlignment="1">
      <alignment horizontal="right" vertical="center"/>
      <protection/>
    </xf>
    <xf numFmtId="0" fontId="22" fillId="0" borderId="0" xfId="52" applyFont="1">
      <alignment/>
      <protection/>
    </xf>
    <xf numFmtId="168" fontId="27" fillId="36" borderId="29" xfId="52" applyNumberFormat="1" applyFont="1" applyFill="1" applyBorder="1" applyAlignment="1">
      <alignment vertical="center"/>
      <protection/>
    </xf>
    <xf numFmtId="4" fontId="23" fillId="36" borderId="13" xfId="52" applyNumberFormat="1" applyFont="1" applyFill="1" applyBorder="1" applyAlignment="1">
      <alignment horizontal="center" vertical="center"/>
      <protection/>
    </xf>
    <xf numFmtId="168" fontId="27" fillId="36" borderId="38" xfId="52" applyNumberFormat="1" applyFont="1" applyFill="1" applyBorder="1" applyAlignment="1">
      <alignment vertical="center"/>
      <protection/>
    </xf>
    <xf numFmtId="4" fontId="23" fillId="36" borderId="36" xfId="52" applyNumberFormat="1" applyFont="1" applyFill="1" applyBorder="1" applyAlignment="1">
      <alignment horizontal="center" vertical="center"/>
      <protection/>
    </xf>
    <xf numFmtId="4" fontId="23" fillId="36" borderId="36" xfId="52" applyNumberFormat="1" applyFont="1" applyFill="1" applyBorder="1" applyAlignment="1">
      <alignment horizontal="right" vertical="center"/>
      <protection/>
    </xf>
    <xf numFmtId="3" fontId="25" fillId="36" borderId="36" xfId="52" applyNumberFormat="1" applyFont="1" applyFill="1" applyBorder="1" applyAlignment="1">
      <alignment vertical="center"/>
      <protection/>
    </xf>
    <xf numFmtId="4" fontId="6" fillId="0" borderId="0" xfId="52" applyNumberFormat="1" applyFont="1">
      <alignment/>
      <protection/>
    </xf>
    <xf numFmtId="168" fontId="23" fillId="36" borderId="38" xfId="52" applyNumberFormat="1" applyFont="1" applyFill="1" applyBorder="1" applyAlignment="1">
      <alignment vertical="center"/>
      <protection/>
    </xf>
    <xf numFmtId="168" fontId="18" fillId="36" borderId="49" xfId="52" applyNumberFormat="1" applyFont="1" applyFill="1" applyBorder="1" applyAlignment="1">
      <alignment vertical="center"/>
      <protection/>
    </xf>
    <xf numFmtId="10" fontId="19" fillId="36" borderId="50" xfId="52" applyNumberFormat="1" applyFont="1" applyFill="1" applyBorder="1" applyAlignment="1">
      <alignment horizontal="center" vertical="center"/>
      <protection/>
    </xf>
    <xf numFmtId="10" fontId="18" fillId="36" borderId="50" xfId="52" applyNumberFormat="1" applyFont="1" applyFill="1" applyBorder="1" applyAlignment="1">
      <alignment vertical="center"/>
      <protection/>
    </xf>
    <xf numFmtId="10" fontId="18" fillId="36" borderId="50" xfId="52" applyNumberFormat="1" applyFont="1" applyFill="1" applyBorder="1" applyAlignment="1">
      <alignment horizontal="center" vertical="center"/>
      <protection/>
    </xf>
    <xf numFmtId="4" fontId="18" fillId="36" borderId="50" xfId="52" applyNumberFormat="1" applyFont="1" applyFill="1" applyBorder="1" applyAlignment="1">
      <alignment horizontal="center" vertical="center"/>
      <protection/>
    </xf>
    <xf numFmtId="4" fontId="18" fillId="36" borderId="50" xfId="52" applyNumberFormat="1" applyFont="1" applyFill="1" applyBorder="1" applyAlignment="1">
      <alignment horizontal="right" vertical="center"/>
      <protection/>
    </xf>
    <xf numFmtId="3" fontId="18" fillId="36" borderId="50" xfId="52" applyNumberFormat="1" applyFont="1" applyFill="1" applyBorder="1" applyAlignment="1">
      <alignment vertical="center"/>
      <protection/>
    </xf>
    <xf numFmtId="4" fontId="18" fillId="36" borderId="51" xfId="52" applyNumberFormat="1" applyFont="1" applyFill="1" applyBorder="1" applyAlignment="1">
      <alignment vertical="center"/>
      <protection/>
    </xf>
    <xf numFmtId="0" fontId="11" fillId="4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68" fontId="25" fillId="34" borderId="20" xfId="52" applyNumberFormat="1" applyFont="1" applyFill="1" applyBorder="1" applyAlignment="1">
      <alignment vertical="center"/>
      <protection/>
    </xf>
    <xf numFmtId="4" fontId="25" fillId="34" borderId="21" xfId="52" applyNumberFormat="1" applyFont="1" applyFill="1" applyBorder="1" applyAlignment="1">
      <alignment horizontal="right" vertical="center"/>
      <protection/>
    </xf>
    <xf numFmtId="168" fontId="25" fillId="34" borderId="29" xfId="52" applyNumberFormat="1" applyFont="1" applyFill="1" applyBorder="1" applyAlignment="1">
      <alignment vertical="center"/>
      <protection/>
    </xf>
    <xf numFmtId="10" fontId="24" fillId="34" borderId="13" xfId="52" applyNumberFormat="1" applyFont="1" applyFill="1" applyBorder="1" applyAlignment="1">
      <alignment horizontal="center" vertical="center"/>
      <protection/>
    </xf>
    <xf numFmtId="10" fontId="25" fillId="34" borderId="13" xfId="52" applyNumberFormat="1" applyFont="1" applyFill="1" applyBorder="1" applyAlignment="1">
      <alignment vertical="center"/>
      <protection/>
    </xf>
    <xf numFmtId="10" fontId="25" fillId="34" borderId="13" xfId="52" applyNumberFormat="1" applyFont="1" applyFill="1" applyBorder="1" applyAlignment="1">
      <alignment horizontal="center" vertical="center"/>
      <protection/>
    </xf>
    <xf numFmtId="4" fontId="25" fillId="34" borderId="13" xfId="52" applyNumberFormat="1" applyFont="1" applyFill="1" applyBorder="1" applyAlignment="1">
      <alignment horizontal="center" vertical="center"/>
      <protection/>
    </xf>
    <xf numFmtId="4" fontId="25" fillId="34" borderId="13" xfId="52" applyNumberFormat="1" applyFont="1" applyFill="1" applyBorder="1" applyAlignment="1">
      <alignment horizontal="right" vertical="center"/>
      <protection/>
    </xf>
    <xf numFmtId="3" fontId="25" fillId="34" borderId="13" xfId="52" applyNumberFormat="1" applyFont="1" applyFill="1" applyBorder="1" applyAlignment="1">
      <alignment vertical="center"/>
      <protection/>
    </xf>
    <xf numFmtId="4" fontId="25" fillId="34" borderId="30" xfId="52" applyNumberFormat="1" applyFont="1" applyFill="1" applyBorder="1" applyAlignment="1">
      <alignment vertical="center"/>
      <protection/>
    </xf>
    <xf numFmtId="4" fontId="23" fillId="34" borderId="13" xfId="52" applyNumberFormat="1" applyFont="1" applyFill="1" applyBorder="1" applyAlignment="1">
      <alignment horizontal="right" vertical="center"/>
      <protection/>
    </xf>
    <xf numFmtId="168" fontId="23" fillId="34" borderId="29" xfId="52" applyNumberFormat="1" applyFont="1" applyFill="1" applyBorder="1" applyAlignment="1">
      <alignment vertical="center"/>
      <protection/>
    </xf>
    <xf numFmtId="168" fontId="27" fillId="34" borderId="29" xfId="52" applyNumberFormat="1" applyFont="1" applyFill="1" applyBorder="1" applyAlignment="1">
      <alignment vertical="center"/>
      <protection/>
    </xf>
    <xf numFmtId="4" fontId="23" fillId="34" borderId="13" xfId="52" applyNumberFormat="1" applyFont="1" applyFill="1" applyBorder="1" applyAlignment="1">
      <alignment horizontal="center" vertical="center"/>
      <protection/>
    </xf>
    <xf numFmtId="3" fontId="27" fillId="34" borderId="13" xfId="52" applyNumberFormat="1" applyFont="1" applyFill="1" applyBorder="1" applyAlignment="1">
      <alignment vertical="center"/>
      <protection/>
    </xf>
    <xf numFmtId="168" fontId="27" fillId="34" borderId="38" xfId="52" applyNumberFormat="1" applyFont="1" applyFill="1" applyBorder="1" applyAlignment="1">
      <alignment vertical="center"/>
      <protection/>
    </xf>
    <xf numFmtId="4" fontId="18" fillId="34" borderId="36" xfId="52" applyNumberFormat="1" applyFont="1" applyFill="1" applyBorder="1" applyAlignment="1">
      <alignment horizontal="center" vertical="center"/>
      <protection/>
    </xf>
    <xf numFmtId="4" fontId="18" fillId="34" borderId="36" xfId="52" applyNumberFormat="1" applyFont="1" applyFill="1" applyBorder="1" applyAlignment="1">
      <alignment horizontal="right" vertical="center"/>
      <protection/>
    </xf>
    <xf numFmtId="3" fontId="27" fillId="34" borderId="36" xfId="52" applyNumberFormat="1" applyFont="1" applyFill="1" applyBorder="1" applyAlignment="1">
      <alignment vertical="center"/>
      <protection/>
    </xf>
    <xf numFmtId="4" fontId="18" fillId="34" borderId="13" xfId="52" applyNumberFormat="1" applyFont="1" applyFill="1" applyBorder="1" applyAlignment="1">
      <alignment horizontal="center" vertical="center"/>
      <protection/>
    </xf>
    <xf numFmtId="4" fontId="18" fillId="34" borderId="13" xfId="52" applyNumberFormat="1" applyFont="1" applyFill="1" applyBorder="1" applyAlignment="1">
      <alignment horizontal="right" vertical="center"/>
      <protection/>
    </xf>
    <xf numFmtId="168" fontId="23" fillId="34" borderId="38" xfId="52" applyNumberFormat="1" applyFont="1" applyFill="1" applyBorder="1" applyAlignment="1">
      <alignment vertical="center"/>
      <protection/>
    </xf>
    <xf numFmtId="10" fontId="24" fillId="34" borderId="50" xfId="52" applyNumberFormat="1" applyFont="1" applyFill="1" applyBorder="1" applyAlignment="1">
      <alignment horizontal="center" vertical="center"/>
      <protection/>
    </xf>
    <xf numFmtId="10" fontId="25" fillId="34" borderId="50" xfId="52" applyNumberFormat="1" applyFont="1" applyFill="1" applyBorder="1" applyAlignment="1">
      <alignment vertical="center"/>
      <protection/>
    </xf>
    <xf numFmtId="10" fontId="25" fillId="34" borderId="50" xfId="52" applyNumberFormat="1" applyFont="1" applyFill="1" applyBorder="1" applyAlignment="1">
      <alignment horizontal="center" vertical="center"/>
      <protection/>
    </xf>
    <xf numFmtId="4" fontId="25" fillId="34" borderId="50" xfId="52" applyNumberFormat="1" applyFont="1" applyFill="1" applyBorder="1" applyAlignment="1">
      <alignment horizontal="center" vertical="center"/>
      <protection/>
    </xf>
    <xf numFmtId="4" fontId="25" fillId="34" borderId="51" xfId="52" applyNumberFormat="1" applyFont="1" applyFill="1" applyBorder="1" applyAlignment="1">
      <alignment vertical="center"/>
      <protection/>
    </xf>
    <xf numFmtId="4" fontId="23" fillId="36" borderId="21" xfId="52" applyNumberFormat="1" applyFont="1" applyFill="1" applyBorder="1" applyAlignment="1">
      <alignment horizontal="right" vertical="center"/>
      <protection/>
    </xf>
    <xf numFmtId="4" fontId="1" fillId="0" borderId="0" xfId="52" applyNumberFormat="1">
      <alignment/>
      <protection/>
    </xf>
    <xf numFmtId="3" fontId="27" fillId="36" borderId="13" xfId="52" applyNumberFormat="1" applyFont="1" applyFill="1" applyBorder="1" applyAlignment="1">
      <alignment vertical="center"/>
      <protection/>
    </xf>
    <xf numFmtId="0" fontId="22" fillId="36" borderId="0" xfId="52" applyFont="1" applyFill="1" applyBorder="1">
      <alignment/>
      <protection/>
    </xf>
    <xf numFmtId="0" fontId="0" fillId="36" borderId="0" xfId="0" applyFill="1" applyBorder="1" applyAlignment="1">
      <alignment/>
    </xf>
    <xf numFmtId="4" fontId="18" fillId="36" borderId="13" xfId="52" applyNumberFormat="1" applyFont="1" applyFill="1" applyBorder="1" applyAlignment="1">
      <alignment horizontal="center" vertical="center"/>
      <protection/>
    </xf>
    <xf numFmtId="4" fontId="20" fillId="36" borderId="13" xfId="52" applyNumberFormat="1" applyFont="1" applyFill="1" applyBorder="1" applyAlignment="1">
      <alignment horizontal="right" vertical="center"/>
      <protection/>
    </xf>
    <xf numFmtId="0" fontId="11" fillId="36" borderId="0" xfId="0" applyFont="1" applyFill="1" applyBorder="1" applyAlignment="1">
      <alignment horizontal="center"/>
    </xf>
    <xf numFmtId="3" fontId="27" fillId="36" borderId="36" xfId="52" applyNumberFormat="1" applyFont="1" applyFill="1" applyBorder="1" applyAlignment="1">
      <alignment vertical="center"/>
      <protection/>
    </xf>
    <xf numFmtId="0" fontId="11" fillId="36" borderId="0" xfId="0" applyFont="1" applyFill="1" applyBorder="1" applyAlignment="1">
      <alignment horizontal="center" vertical="center"/>
    </xf>
    <xf numFmtId="167" fontId="0" fillId="36" borderId="0" xfId="0" applyNumberFormat="1" applyFill="1" applyBorder="1" applyAlignment="1">
      <alignment/>
    </xf>
    <xf numFmtId="168" fontId="18" fillId="36" borderId="38" xfId="52" applyNumberFormat="1" applyFont="1" applyFill="1" applyBorder="1" applyAlignment="1">
      <alignment vertical="center"/>
      <protection/>
    </xf>
    <xf numFmtId="10" fontId="19" fillId="36" borderId="36" xfId="52" applyNumberFormat="1" applyFont="1" applyFill="1" applyBorder="1" applyAlignment="1">
      <alignment horizontal="center" vertical="center"/>
      <protection/>
    </xf>
    <xf numFmtId="10" fontId="18" fillId="36" borderId="36" xfId="52" applyNumberFormat="1" applyFont="1" applyFill="1" applyBorder="1" applyAlignment="1">
      <alignment vertical="center"/>
      <protection/>
    </xf>
    <xf numFmtId="10" fontId="18" fillId="36" borderId="36" xfId="52" applyNumberFormat="1" applyFont="1" applyFill="1" applyBorder="1" applyAlignment="1">
      <alignment horizontal="center" vertical="center"/>
      <protection/>
    </xf>
    <xf numFmtId="4" fontId="18" fillId="36" borderId="36" xfId="52" applyNumberFormat="1" applyFont="1" applyFill="1" applyBorder="1" applyAlignment="1">
      <alignment horizontal="center" vertical="center"/>
      <protection/>
    </xf>
    <xf numFmtId="4" fontId="20" fillId="36" borderId="36" xfId="52" applyNumberFormat="1" applyFont="1" applyFill="1" applyBorder="1" applyAlignment="1">
      <alignment horizontal="right" vertical="center"/>
      <protection/>
    </xf>
    <xf numFmtId="3" fontId="18" fillId="36" borderId="36" xfId="52" applyNumberFormat="1" applyFont="1" applyFill="1" applyBorder="1" applyAlignment="1">
      <alignment vertical="center"/>
      <protection/>
    </xf>
    <xf numFmtId="4" fontId="18" fillId="36" borderId="39" xfId="52" applyNumberFormat="1" applyFont="1" applyFill="1" applyBorder="1" applyAlignment="1">
      <alignment vertical="center"/>
      <protection/>
    </xf>
    <xf numFmtId="168" fontId="25" fillId="34" borderId="25" xfId="52" applyNumberFormat="1" applyFont="1" applyFill="1" applyBorder="1" applyAlignment="1">
      <alignment vertical="center"/>
      <protection/>
    </xf>
    <xf numFmtId="10" fontId="24" fillId="34" borderId="20" xfId="52" applyNumberFormat="1" applyFont="1" applyFill="1" applyBorder="1" applyAlignment="1">
      <alignment horizontal="center" vertical="center"/>
      <protection/>
    </xf>
    <xf numFmtId="168" fontId="25" fillId="34" borderId="33" xfId="52" applyNumberFormat="1" applyFont="1" applyFill="1" applyBorder="1" applyAlignment="1">
      <alignment vertical="center"/>
      <protection/>
    </xf>
    <xf numFmtId="10" fontId="24" fillId="34" borderId="29" xfId="52" applyNumberFormat="1" applyFont="1" applyFill="1" applyBorder="1" applyAlignment="1">
      <alignment horizontal="center" vertical="center"/>
      <protection/>
    </xf>
    <xf numFmtId="168" fontId="23" fillId="34" borderId="33" xfId="52" applyNumberFormat="1" applyFont="1" applyFill="1" applyBorder="1" applyAlignment="1">
      <alignment vertical="center"/>
      <protection/>
    </xf>
    <xf numFmtId="168" fontId="27" fillId="34" borderId="33" xfId="52" applyNumberFormat="1" applyFont="1" applyFill="1" applyBorder="1" applyAlignment="1">
      <alignment vertical="center"/>
      <protection/>
    </xf>
    <xf numFmtId="4" fontId="20" fillId="34" borderId="13" xfId="52" applyNumberFormat="1" applyFont="1" applyFill="1" applyBorder="1" applyAlignment="1">
      <alignment horizontal="right" vertical="center"/>
      <protection/>
    </xf>
    <xf numFmtId="168" fontId="18" fillId="34" borderId="41" xfId="52" applyNumberFormat="1" applyFont="1" applyFill="1" applyBorder="1" applyAlignment="1">
      <alignment vertical="center"/>
      <protection/>
    </xf>
    <xf numFmtId="10" fontId="19" fillId="34" borderId="49" xfId="52" applyNumberFormat="1" applyFont="1" applyFill="1" applyBorder="1" applyAlignment="1">
      <alignment horizontal="center" vertical="center"/>
      <protection/>
    </xf>
    <xf numFmtId="4" fontId="20" fillId="34" borderId="50" xfId="52" applyNumberFormat="1" applyFont="1" applyFill="1" applyBorder="1" applyAlignment="1">
      <alignment horizontal="right" vertical="center"/>
      <protection/>
    </xf>
    <xf numFmtId="4" fontId="25" fillId="34" borderId="55" xfId="52" applyNumberFormat="1" applyFont="1" applyFill="1" applyBorder="1" applyAlignment="1">
      <alignment vertical="center"/>
      <protection/>
    </xf>
    <xf numFmtId="167" fontId="11" fillId="36" borderId="0" xfId="0" applyNumberFormat="1" applyFont="1" applyFill="1" applyBorder="1" applyAlignment="1">
      <alignment vertical="center"/>
    </xf>
    <xf numFmtId="168" fontId="25" fillId="36" borderId="25" xfId="52" applyNumberFormat="1" applyFont="1" applyFill="1" applyBorder="1" applyAlignment="1">
      <alignment vertical="center"/>
      <protection/>
    </xf>
    <xf numFmtId="168" fontId="25" fillId="36" borderId="33" xfId="52" applyNumberFormat="1" applyFont="1" applyFill="1" applyBorder="1" applyAlignment="1">
      <alignment vertical="center"/>
      <protection/>
    </xf>
    <xf numFmtId="168" fontId="23" fillId="36" borderId="33" xfId="52" applyNumberFormat="1" applyFont="1" applyFill="1" applyBorder="1" applyAlignment="1">
      <alignment vertical="center"/>
      <protection/>
    </xf>
    <xf numFmtId="168" fontId="27" fillId="36" borderId="33" xfId="52" applyNumberFormat="1" applyFont="1" applyFill="1" applyBorder="1" applyAlignment="1">
      <alignment vertical="center"/>
      <protection/>
    </xf>
    <xf numFmtId="168" fontId="18" fillId="36" borderId="71" xfId="52" applyNumberFormat="1" applyFont="1" applyFill="1" applyBorder="1" applyAlignment="1">
      <alignment vertical="center"/>
      <protection/>
    </xf>
    <xf numFmtId="4" fontId="23" fillId="34" borderId="21" xfId="52" applyNumberFormat="1" applyFont="1" applyFill="1" applyBorder="1" applyAlignment="1">
      <alignment horizontal="center" vertical="center"/>
      <protection/>
    </xf>
    <xf numFmtId="4" fontId="1" fillId="0" borderId="0" xfId="52" applyNumberFormat="1" applyFont="1">
      <alignment/>
      <protection/>
    </xf>
    <xf numFmtId="168" fontId="18" fillId="34" borderId="38" xfId="52" applyNumberFormat="1" applyFont="1" applyFill="1" applyBorder="1" applyAlignment="1">
      <alignment vertical="center"/>
      <protection/>
    </xf>
    <xf numFmtId="10" fontId="19" fillId="34" borderId="36" xfId="52" applyNumberFormat="1" applyFont="1" applyFill="1" applyBorder="1" applyAlignment="1">
      <alignment horizontal="center" vertical="center"/>
      <protection/>
    </xf>
    <xf numFmtId="10" fontId="18" fillId="34" borderId="36" xfId="52" applyNumberFormat="1" applyFont="1" applyFill="1" applyBorder="1" applyAlignment="1">
      <alignment vertical="center"/>
      <protection/>
    </xf>
    <xf numFmtId="10" fontId="18" fillId="34" borderId="36" xfId="52" applyNumberFormat="1" applyFont="1" applyFill="1" applyBorder="1" applyAlignment="1">
      <alignment horizontal="center" vertical="center"/>
      <protection/>
    </xf>
    <xf numFmtId="4" fontId="20" fillId="34" borderId="36" xfId="52" applyNumberFormat="1" applyFont="1" applyFill="1" applyBorder="1" applyAlignment="1">
      <alignment horizontal="right" vertical="center"/>
      <protection/>
    </xf>
    <xf numFmtId="3" fontId="18" fillId="34" borderId="36" xfId="52" applyNumberFormat="1" applyFont="1" applyFill="1" applyBorder="1" applyAlignment="1">
      <alignment vertical="center"/>
      <protection/>
    </xf>
    <xf numFmtId="4" fontId="18" fillId="34" borderId="39" xfId="52" applyNumberFormat="1" applyFont="1" applyFill="1" applyBorder="1" applyAlignment="1">
      <alignment vertical="center"/>
      <protection/>
    </xf>
    <xf numFmtId="4" fontId="1" fillId="0" borderId="0" xfId="52" applyNumberFormat="1" applyFont="1" applyBorder="1">
      <alignment/>
      <protection/>
    </xf>
    <xf numFmtId="4" fontId="25" fillId="0" borderId="0" xfId="52" applyNumberFormat="1" applyFont="1" applyFill="1" applyBorder="1" applyAlignment="1">
      <alignment vertical="center"/>
      <protection/>
    </xf>
    <xf numFmtId="0" fontId="1" fillId="0" borderId="0" xfId="52" applyFont="1" applyBorder="1">
      <alignment/>
      <protection/>
    </xf>
    <xf numFmtId="4" fontId="20" fillId="36" borderId="5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4" fontId="28" fillId="0" borderId="0" xfId="0" applyNumberFormat="1" applyFont="1" applyAlignment="1">
      <alignment/>
    </xf>
    <xf numFmtId="0" fontId="1" fillId="36" borderId="0" xfId="52" applyFill="1" applyBorder="1">
      <alignment/>
      <protection/>
    </xf>
    <xf numFmtId="0" fontId="1" fillId="0" borderId="0" xfId="52" applyFont="1">
      <alignment/>
      <protection/>
    </xf>
    <xf numFmtId="10" fontId="16" fillId="38" borderId="60" xfId="55" applyNumberFormat="1" applyFill="1" applyBorder="1" applyAlignment="1" applyProtection="1">
      <alignment/>
      <protection/>
    </xf>
    <xf numFmtId="0" fontId="14" fillId="35" borderId="60" xfId="0" applyFont="1" applyFill="1" applyBorder="1" applyAlignment="1">
      <alignment horizontal="center" wrapText="1"/>
    </xf>
    <xf numFmtId="4" fontId="14" fillId="35" borderId="60" xfId="0" applyNumberFormat="1" applyFont="1" applyFill="1" applyBorder="1" applyAlignment="1">
      <alignment horizontal="center" wrapText="1"/>
    </xf>
    <xf numFmtId="10" fontId="14" fillId="35" borderId="60" xfId="0" applyNumberFormat="1" applyFont="1" applyFill="1" applyBorder="1" applyAlignment="1">
      <alignment horizontal="center" wrapText="1"/>
    </xf>
    <xf numFmtId="4" fontId="14" fillId="35" borderId="60" xfId="0" applyNumberFormat="1" applyFont="1" applyFill="1" applyBorder="1" applyAlignment="1">
      <alignment horizontal="right" wrapText="1"/>
    </xf>
    <xf numFmtId="3" fontId="14" fillId="35" borderId="60" xfId="0" applyNumberFormat="1" applyFont="1" applyFill="1" applyBorder="1" applyAlignment="1">
      <alignment horizontal="center" wrapText="1"/>
    </xf>
    <xf numFmtId="0" fontId="15" fillId="35" borderId="0" xfId="0" applyFont="1" applyFill="1" applyAlignment="1">
      <alignment/>
    </xf>
    <xf numFmtId="0" fontId="14" fillId="35" borderId="60" xfId="0" applyFont="1" applyFill="1" applyBorder="1" applyAlignment="1">
      <alignment horizontal="right"/>
    </xf>
    <xf numFmtId="4" fontId="15" fillId="35" borderId="60" xfId="0" applyNumberFormat="1" applyFont="1" applyFill="1" applyBorder="1" applyAlignment="1">
      <alignment/>
    </xf>
    <xf numFmtId="10" fontId="15" fillId="35" borderId="60" xfId="0" applyNumberFormat="1" applyFont="1" applyFill="1" applyBorder="1" applyAlignment="1">
      <alignment/>
    </xf>
    <xf numFmtId="4" fontId="15" fillId="35" borderId="60" xfId="0" applyNumberFormat="1" applyFont="1" applyFill="1" applyBorder="1" applyAlignment="1">
      <alignment horizontal="right"/>
    </xf>
    <xf numFmtId="3" fontId="15" fillId="35" borderId="60" xfId="0" applyNumberFormat="1" applyFont="1" applyFill="1" applyBorder="1" applyAlignment="1">
      <alignment/>
    </xf>
    <xf numFmtId="168" fontId="15" fillId="35" borderId="60" xfId="0" applyNumberFormat="1" applyFont="1" applyFill="1" applyBorder="1" applyAlignment="1">
      <alignment horizontal="right"/>
    </xf>
    <xf numFmtId="10" fontId="15" fillId="35" borderId="60" xfId="55" applyNumberFormat="1" applyFont="1" applyFill="1" applyBorder="1" applyAlignment="1" applyProtection="1">
      <alignment/>
      <protection/>
    </xf>
    <xf numFmtId="168" fontId="14" fillId="35" borderId="60" xfId="0" applyNumberFormat="1" applyFont="1" applyFill="1" applyBorder="1" applyAlignment="1">
      <alignment horizontal="left"/>
    </xf>
    <xf numFmtId="4" fontId="14" fillId="35" borderId="60" xfId="0" applyNumberFormat="1" applyFont="1" applyFill="1" applyBorder="1" applyAlignment="1">
      <alignment/>
    </xf>
    <xf numFmtId="10" fontId="14" fillId="35" borderId="60" xfId="0" applyNumberFormat="1" applyFont="1" applyFill="1" applyBorder="1" applyAlignment="1">
      <alignment/>
    </xf>
    <xf numFmtId="4" fontId="14" fillId="35" borderId="60" xfId="0" applyNumberFormat="1" applyFont="1" applyFill="1" applyBorder="1" applyAlignment="1">
      <alignment horizontal="right"/>
    </xf>
    <xf numFmtId="3" fontId="14" fillId="35" borderId="6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" fillId="45" borderId="42" xfId="0" applyFont="1" applyFill="1" applyBorder="1" applyAlignment="1">
      <alignment/>
    </xf>
    <xf numFmtId="0" fontId="5" fillId="33" borderId="7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43" borderId="5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36" borderId="6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9" xfId="0" applyNumberFormat="1" applyFont="1" applyBorder="1" applyAlignment="1">
      <alignment/>
    </xf>
    <xf numFmtId="0" fontId="2" fillId="53" borderId="11" xfId="0" applyNumberFormat="1" applyFont="1" applyFill="1" applyBorder="1" applyAlignment="1">
      <alignment horizontal="center"/>
    </xf>
    <xf numFmtId="4" fontId="2" fillId="53" borderId="12" xfId="0" applyNumberFormat="1" applyFont="1" applyFill="1" applyBorder="1" applyAlignment="1">
      <alignment horizontal="center"/>
    </xf>
    <xf numFmtId="4" fontId="2" fillId="43" borderId="10" xfId="0" applyNumberFormat="1" applyFont="1" applyFill="1" applyBorder="1" applyAlignment="1">
      <alignment horizontal="center"/>
    </xf>
    <xf numFmtId="0" fontId="2" fillId="43" borderId="16" xfId="0" applyNumberFormat="1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5" fillId="38" borderId="27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5" fillId="52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166" fontId="2" fillId="0" borderId="70" xfId="0" applyNumberFormat="1" applyFont="1" applyBorder="1" applyAlignment="1">
      <alignment/>
    </xf>
    <xf numFmtId="166" fontId="7" fillId="35" borderId="65" xfId="0" applyNumberFormat="1" applyFont="1" applyFill="1" applyBorder="1" applyAlignment="1">
      <alignment/>
    </xf>
    <xf numFmtId="166" fontId="7" fillId="35" borderId="19" xfId="0" applyNumberFormat="1" applyFont="1" applyFill="1" applyBorder="1" applyAlignment="1">
      <alignment/>
    </xf>
    <xf numFmtId="166" fontId="2" fillId="34" borderId="70" xfId="0" applyNumberFormat="1" applyFont="1" applyFill="1" applyBorder="1" applyAlignment="1">
      <alignment/>
    </xf>
    <xf numFmtId="166" fontId="2" fillId="43" borderId="70" xfId="0" applyNumberFormat="1" applyFont="1" applyFill="1" applyBorder="1" applyAlignment="1">
      <alignment/>
    </xf>
    <xf numFmtId="166" fontId="5" fillId="54" borderId="70" xfId="0" applyNumberFormat="1" applyFont="1" applyFill="1" applyBorder="1" applyAlignment="1">
      <alignment/>
    </xf>
    <xf numFmtId="166" fontId="5" fillId="35" borderId="62" xfId="0" applyNumberFormat="1" applyFont="1" applyFill="1" applyBorder="1" applyAlignment="1">
      <alignment/>
    </xf>
    <xf numFmtId="166" fontId="5" fillId="36" borderId="65" xfId="0" applyNumberFormat="1" applyFont="1" applyFill="1" applyBorder="1" applyAlignment="1">
      <alignment/>
    </xf>
    <xf numFmtId="166" fontId="2" fillId="52" borderId="70" xfId="0" applyNumberFormat="1" applyFont="1" applyFill="1" applyBorder="1" applyAlignment="1">
      <alignment/>
    </xf>
    <xf numFmtId="0" fontId="2" fillId="33" borderId="70" xfId="0" applyFont="1" applyFill="1" applyBorder="1" applyAlignment="1">
      <alignment/>
    </xf>
    <xf numFmtId="166" fontId="2" fillId="35" borderId="35" xfId="0" applyNumberFormat="1" applyFont="1" applyFill="1" applyBorder="1" applyAlignment="1">
      <alignment/>
    </xf>
    <xf numFmtId="166" fontId="2" fillId="34" borderId="32" xfId="0" applyNumberFormat="1" applyFont="1" applyFill="1" applyBorder="1" applyAlignment="1">
      <alignment/>
    </xf>
    <xf numFmtId="167" fontId="5" fillId="54" borderId="32" xfId="0" applyNumberFormat="1" applyFont="1" applyFill="1" applyBorder="1" applyAlignment="1">
      <alignment/>
    </xf>
    <xf numFmtId="166" fontId="5" fillId="35" borderId="34" xfId="0" applyNumberFormat="1" applyFont="1" applyFill="1" applyBorder="1" applyAlignment="1">
      <alignment/>
    </xf>
    <xf numFmtId="166" fontId="2" fillId="52" borderId="32" xfId="0" applyNumberFormat="1" applyFont="1" applyFill="1" applyBorder="1" applyAlignment="1">
      <alignment/>
    </xf>
    <xf numFmtId="166" fontId="2" fillId="0" borderId="34" xfId="0" applyNumberFormat="1" applyFont="1" applyBorder="1" applyAlignment="1">
      <alignment/>
    </xf>
    <xf numFmtId="166" fontId="2" fillId="36" borderId="32" xfId="0" applyNumberFormat="1" applyFont="1" applyFill="1" applyBorder="1" applyAlignment="1">
      <alignment/>
    </xf>
    <xf numFmtId="166" fontId="2" fillId="35" borderId="32" xfId="0" applyNumberFormat="1" applyFont="1" applyFill="1" applyBorder="1" applyAlignment="1">
      <alignment/>
    </xf>
    <xf numFmtId="4" fontId="2" fillId="0" borderId="32" xfId="0" applyNumberFormat="1" applyFont="1" applyBorder="1" applyAlignment="1">
      <alignment/>
    </xf>
    <xf numFmtId="166" fontId="2" fillId="52" borderId="31" xfId="0" applyNumberFormat="1" applyFont="1" applyFill="1" applyBorder="1" applyAlignment="1">
      <alignment/>
    </xf>
    <xf numFmtId="166" fontId="2" fillId="0" borderId="66" xfId="0" applyNumberFormat="1" applyFont="1" applyBorder="1" applyAlignment="1">
      <alignment/>
    </xf>
    <xf numFmtId="0" fontId="5" fillId="35" borderId="11" xfId="0" applyNumberFormat="1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center"/>
    </xf>
    <xf numFmtId="0" fontId="5" fillId="41" borderId="42" xfId="0" applyFont="1" applyFill="1" applyBorder="1" applyAlignment="1">
      <alignment horizontal="center" vertical="center" wrapText="1"/>
    </xf>
    <xf numFmtId="0" fontId="5" fillId="50" borderId="12" xfId="0" applyFont="1" applyFill="1" applyBorder="1" applyAlignment="1">
      <alignment horizontal="center" vertical="center" wrapText="1"/>
    </xf>
    <xf numFmtId="167" fontId="2" fillId="44" borderId="18" xfId="0" applyNumberFormat="1" applyFont="1" applyFill="1" applyBorder="1" applyAlignment="1">
      <alignment/>
    </xf>
    <xf numFmtId="167" fontId="2" fillId="44" borderId="45" xfId="0" applyNumberFormat="1" applyFont="1" applyFill="1" applyBorder="1" applyAlignment="1">
      <alignment/>
    </xf>
    <xf numFmtId="167" fontId="2" fillId="49" borderId="62" xfId="0" applyNumberFormat="1" applyFont="1" applyFill="1" applyBorder="1" applyAlignment="1">
      <alignment/>
    </xf>
    <xf numFmtId="0" fontId="5" fillId="51" borderId="19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167" fontId="2" fillId="0" borderId="30" xfId="0" applyNumberFormat="1" applyFont="1" applyBorder="1" applyAlignment="1">
      <alignment/>
    </xf>
    <xf numFmtId="167" fontId="2" fillId="49" borderId="34" xfId="0" applyNumberFormat="1" applyFont="1" applyFill="1" applyBorder="1" applyAlignment="1">
      <alignment/>
    </xf>
    <xf numFmtId="167" fontId="2" fillId="35" borderId="28" xfId="0" applyNumberFormat="1" applyFont="1" applyFill="1" applyBorder="1" applyAlignment="1">
      <alignment/>
    </xf>
    <xf numFmtId="167" fontId="2" fillId="36" borderId="37" xfId="0" applyNumberFormat="1" applyFont="1" applyFill="1" applyBorder="1" applyAlignment="1">
      <alignment/>
    </xf>
    <xf numFmtId="167" fontId="2" fillId="36" borderId="60" xfId="0" applyNumberFormat="1" applyFont="1" applyFill="1" applyBorder="1" applyAlignment="1">
      <alignment/>
    </xf>
    <xf numFmtId="167" fontId="12" fillId="35" borderId="35" xfId="0" applyNumberFormat="1" applyFont="1" applyFill="1" applyBorder="1" applyAlignment="1">
      <alignment/>
    </xf>
    <xf numFmtId="166" fontId="12" fillId="50" borderId="35" xfId="0" applyNumberFormat="1" applyFont="1" applyFill="1" applyBorder="1" applyAlignment="1">
      <alignment/>
    </xf>
    <xf numFmtId="167" fontId="12" fillId="33" borderId="36" xfId="0" applyNumberFormat="1" applyFont="1" applyFill="1" applyBorder="1" applyAlignment="1">
      <alignment/>
    </xf>
    <xf numFmtId="167" fontId="5" fillId="33" borderId="14" xfId="0" applyNumberFormat="1" applyFont="1" applyFill="1" applyBorder="1" applyAlignment="1">
      <alignment/>
    </xf>
    <xf numFmtId="167" fontId="8" fillId="50" borderId="73" xfId="0" applyNumberFormat="1" applyFont="1" applyFill="1" applyBorder="1" applyAlignment="1">
      <alignment/>
    </xf>
    <xf numFmtId="167" fontId="8" fillId="33" borderId="11" xfId="0" applyNumberFormat="1" applyFont="1" applyFill="1" applyBorder="1" applyAlignment="1">
      <alignment/>
    </xf>
    <xf numFmtId="167" fontId="12" fillId="52" borderId="12" xfId="0" applyNumberFormat="1" applyFont="1" applyFill="1" applyBorder="1" applyAlignment="1">
      <alignment/>
    </xf>
    <xf numFmtId="0" fontId="5" fillId="41" borderId="15" xfId="0" applyFont="1" applyFill="1" applyBorder="1" applyAlignment="1">
      <alignment horizontal="center"/>
    </xf>
    <xf numFmtId="0" fontId="5" fillId="41" borderId="17" xfId="0" applyFont="1" applyFill="1" applyBorder="1" applyAlignment="1">
      <alignment horizontal="center"/>
    </xf>
    <xf numFmtId="167" fontId="0" fillId="0" borderId="36" xfId="0" applyNumberFormat="1" applyBorder="1" applyAlignment="1">
      <alignment/>
    </xf>
    <xf numFmtId="0" fontId="11" fillId="43" borderId="28" xfId="0" applyFont="1" applyFill="1" applyBorder="1" applyAlignment="1">
      <alignment horizontal="center" vertical="center"/>
    </xf>
    <xf numFmtId="167" fontId="11" fillId="0" borderId="10" xfId="0" applyNumberFormat="1" applyFont="1" applyBorder="1" applyAlignment="1">
      <alignment vertical="center"/>
    </xf>
    <xf numFmtId="167" fontId="11" fillId="0" borderId="12" xfId="0" applyNumberFormat="1" applyFont="1" applyBorder="1" applyAlignment="1">
      <alignment vertical="center"/>
    </xf>
    <xf numFmtId="0" fontId="14" fillId="36" borderId="60" xfId="0" applyFont="1" applyFill="1" applyBorder="1" applyAlignment="1">
      <alignment horizontal="center" wrapText="1"/>
    </xf>
    <xf numFmtId="4" fontId="14" fillId="36" borderId="60" xfId="0" applyNumberFormat="1" applyFont="1" applyFill="1" applyBorder="1" applyAlignment="1">
      <alignment horizontal="center" wrapText="1"/>
    </xf>
    <xf numFmtId="10" fontId="14" fillId="36" borderId="60" xfId="0" applyNumberFormat="1" applyFont="1" applyFill="1" applyBorder="1" applyAlignment="1">
      <alignment horizontal="center" wrapText="1"/>
    </xf>
    <xf numFmtId="4" fontId="14" fillId="36" borderId="60" xfId="0" applyNumberFormat="1" applyFont="1" applyFill="1" applyBorder="1" applyAlignment="1">
      <alignment horizontal="right" wrapText="1"/>
    </xf>
    <xf numFmtId="3" fontId="14" fillId="36" borderId="60" xfId="0" applyNumberFormat="1" applyFont="1" applyFill="1" applyBorder="1" applyAlignment="1">
      <alignment horizontal="center" wrapText="1"/>
    </xf>
    <xf numFmtId="0" fontId="15" fillId="36" borderId="0" xfId="0" applyFont="1" applyFill="1" applyAlignment="1">
      <alignment/>
    </xf>
    <xf numFmtId="0" fontId="14" fillId="36" borderId="60" xfId="0" applyFont="1" applyFill="1" applyBorder="1" applyAlignment="1">
      <alignment horizontal="right"/>
    </xf>
    <xf numFmtId="4" fontId="15" fillId="36" borderId="60" xfId="0" applyNumberFormat="1" applyFont="1" applyFill="1" applyBorder="1" applyAlignment="1">
      <alignment/>
    </xf>
    <xf numFmtId="10" fontId="15" fillId="36" borderId="60" xfId="0" applyNumberFormat="1" applyFont="1" applyFill="1" applyBorder="1" applyAlignment="1">
      <alignment/>
    </xf>
    <xf numFmtId="4" fontId="15" fillId="36" borderId="60" xfId="0" applyNumberFormat="1" applyFont="1" applyFill="1" applyBorder="1" applyAlignment="1">
      <alignment horizontal="right"/>
    </xf>
    <xf numFmtId="3" fontId="15" fillId="36" borderId="60" xfId="0" applyNumberFormat="1" applyFont="1" applyFill="1" applyBorder="1" applyAlignment="1">
      <alignment/>
    </xf>
    <xf numFmtId="168" fontId="15" fillId="36" borderId="60" xfId="0" applyNumberFormat="1" applyFont="1" applyFill="1" applyBorder="1" applyAlignment="1">
      <alignment horizontal="right"/>
    </xf>
    <xf numFmtId="10" fontId="15" fillId="36" borderId="60" xfId="55" applyNumberFormat="1" applyFont="1" applyFill="1" applyBorder="1" applyAlignment="1" applyProtection="1">
      <alignment/>
      <protection/>
    </xf>
    <xf numFmtId="168" fontId="14" fillId="36" borderId="60" xfId="0" applyNumberFormat="1" applyFont="1" applyFill="1" applyBorder="1" applyAlignment="1">
      <alignment horizontal="left"/>
    </xf>
    <xf numFmtId="4" fontId="14" fillId="36" borderId="60" xfId="0" applyNumberFormat="1" applyFont="1" applyFill="1" applyBorder="1" applyAlignment="1">
      <alignment/>
    </xf>
    <xf numFmtId="10" fontId="14" fillId="36" borderId="60" xfId="0" applyNumberFormat="1" applyFont="1" applyFill="1" applyBorder="1" applyAlignment="1">
      <alignment/>
    </xf>
    <xf numFmtId="4" fontId="14" fillId="36" borderId="60" xfId="0" applyNumberFormat="1" applyFont="1" applyFill="1" applyBorder="1" applyAlignment="1">
      <alignment horizontal="right"/>
    </xf>
    <xf numFmtId="3" fontId="14" fillId="36" borderId="6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5" fillId="55" borderId="11" xfId="0" applyFont="1" applyFill="1" applyBorder="1" applyAlignment="1">
      <alignment horizontal="center" vertical="center"/>
    </xf>
    <xf numFmtId="0" fontId="5" fillId="55" borderId="14" xfId="0" applyFont="1" applyFill="1" applyBorder="1" applyAlignment="1">
      <alignment horizontal="center" vertical="center"/>
    </xf>
    <xf numFmtId="0" fontId="5" fillId="56" borderId="11" xfId="0" applyFont="1" applyFill="1" applyBorder="1" applyAlignment="1">
      <alignment horizontal="center" vertical="center"/>
    </xf>
    <xf numFmtId="0" fontId="5" fillId="56" borderId="12" xfId="0" applyFont="1" applyFill="1" applyBorder="1" applyAlignment="1">
      <alignment horizontal="center" vertical="center"/>
    </xf>
    <xf numFmtId="0" fontId="5" fillId="57" borderId="11" xfId="0" applyFont="1" applyFill="1" applyBorder="1" applyAlignment="1">
      <alignment horizontal="center" vertical="center" wrapText="1"/>
    </xf>
    <xf numFmtId="0" fontId="5" fillId="58" borderId="11" xfId="0" applyFont="1" applyFill="1" applyBorder="1" applyAlignment="1">
      <alignment horizontal="center" vertical="center" wrapText="1"/>
    </xf>
    <xf numFmtId="0" fontId="2" fillId="57" borderId="13" xfId="0" applyFont="1" applyFill="1" applyBorder="1" applyAlignment="1">
      <alignment/>
    </xf>
    <xf numFmtId="0" fontId="5" fillId="57" borderId="10" xfId="0" applyFont="1" applyFill="1" applyBorder="1" applyAlignment="1">
      <alignment horizontal="center" vertical="center"/>
    </xf>
    <xf numFmtId="0" fontId="2" fillId="57" borderId="18" xfId="0" applyFont="1" applyFill="1" applyBorder="1" applyAlignment="1">
      <alignment/>
    </xf>
    <xf numFmtId="0" fontId="5" fillId="57" borderId="13" xfId="0" applyNumberFormat="1" applyFont="1" applyFill="1" applyBorder="1" applyAlignment="1">
      <alignment/>
    </xf>
    <xf numFmtId="0" fontId="5" fillId="57" borderId="24" xfId="0" applyFont="1" applyFill="1" applyBorder="1" applyAlignment="1">
      <alignment horizontal="center" vertical="center"/>
    </xf>
    <xf numFmtId="0" fontId="2" fillId="57" borderId="74" xfId="0" applyFont="1" applyFill="1" applyBorder="1" applyAlignment="1">
      <alignment/>
    </xf>
    <xf numFmtId="0" fontId="2" fillId="57" borderId="32" xfId="0" applyFont="1" applyFill="1" applyBorder="1" applyAlignment="1">
      <alignment/>
    </xf>
    <xf numFmtId="0" fontId="5" fillId="57" borderId="52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2" fillId="43" borderId="75" xfId="0" applyNumberFormat="1" applyFont="1" applyFill="1" applyBorder="1" applyAlignment="1">
      <alignment horizontal="center"/>
    </xf>
    <xf numFmtId="4" fontId="15" fillId="59" borderId="60" xfId="0" applyNumberFormat="1" applyFont="1" applyFill="1" applyBorder="1" applyAlignment="1">
      <alignment/>
    </xf>
    <xf numFmtId="0" fontId="5" fillId="36" borderId="62" xfId="0" applyFont="1" applyFill="1" applyBorder="1" applyAlignment="1">
      <alignment horizontal="center" vertical="center" wrapText="1"/>
    </xf>
    <xf numFmtId="167" fontId="2" fillId="36" borderId="66" xfId="0" applyNumberFormat="1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4" fontId="14" fillId="15" borderId="60" xfId="0" applyNumberFormat="1" applyFont="1" applyFill="1" applyBorder="1" applyAlignment="1">
      <alignment/>
    </xf>
    <xf numFmtId="166" fontId="2" fillId="60" borderId="33" xfId="0" applyNumberFormat="1" applyFont="1" applyFill="1" applyBorder="1" applyAlignment="1">
      <alignment/>
    </xf>
    <xf numFmtId="166" fontId="2" fillId="60" borderId="28" xfId="0" applyNumberFormat="1" applyFont="1" applyFill="1" applyBorder="1" applyAlignment="1">
      <alignment/>
    </xf>
    <xf numFmtId="166" fontId="2" fillId="60" borderId="29" xfId="0" applyNumberFormat="1" applyFont="1" applyFill="1" applyBorder="1" applyAlignment="1">
      <alignment/>
    </xf>
    <xf numFmtId="0" fontId="5" fillId="61" borderId="15" xfId="0" applyFont="1" applyFill="1" applyBorder="1" applyAlignment="1">
      <alignment horizontal="center" vertical="center" wrapText="1"/>
    </xf>
    <xf numFmtId="166" fontId="2" fillId="61" borderId="62" xfId="0" applyNumberFormat="1" applyFont="1" applyFill="1" applyBorder="1" applyAlignment="1">
      <alignment/>
    </xf>
    <xf numFmtId="166" fontId="2" fillId="61" borderId="65" xfId="0" applyNumberFormat="1" applyFont="1" applyFill="1" applyBorder="1" applyAlignment="1">
      <alignment/>
    </xf>
    <xf numFmtId="166" fontId="2" fillId="61" borderId="34" xfId="0" applyNumberFormat="1" applyFont="1" applyFill="1" applyBorder="1" applyAlignment="1">
      <alignment/>
    </xf>
    <xf numFmtId="166" fontId="2" fillId="61" borderId="33" xfId="0" applyNumberFormat="1" applyFont="1" applyFill="1" applyBorder="1" applyAlignment="1">
      <alignment/>
    </xf>
    <xf numFmtId="166" fontId="2" fillId="62" borderId="33" xfId="0" applyNumberFormat="1" applyFont="1" applyFill="1" applyBorder="1" applyAlignment="1">
      <alignment/>
    </xf>
    <xf numFmtId="166" fontId="2" fillId="61" borderId="66" xfId="0" applyNumberFormat="1" applyFont="1" applyFill="1" applyBorder="1" applyAlignment="1">
      <alignment/>
    </xf>
    <xf numFmtId="4" fontId="2" fillId="63" borderId="32" xfId="52" applyNumberFormat="1" applyFont="1" applyFill="1" applyBorder="1">
      <alignment/>
      <protection/>
    </xf>
    <xf numFmtId="4" fontId="2" fillId="19" borderId="32" xfId="52" applyNumberFormat="1" applyFont="1" applyFill="1" applyBorder="1">
      <alignment/>
      <protection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left" vertical="center"/>
    </xf>
    <xf numFmtId="0" fontId="2" fillId="64" borderId="76" xfId="0" applyFont="1" applyFill="1" applyBorder="1" applyAlignment="1">
      <alignment/>
    </xf>
    <xf numFmtId="166" fontId="2" fillId="64" borderId="76" xfId="0" applyNumberFormat="1" applyFont="1" applyFill="1" applyBorder="1" applyAlignment="1">
      <alignment/>
    </xf>
    <xf numFmtId="3" fontId="2" fillId="64" borderId="76" xfId="0" applyNumberFormat="1" applyFont="1" applyFill="1" applyBorder="1" applyAlignment="1">
      <alignment/>
    </xf>
    <xf numFmtId="167" fontId="5" fillId="64" borderId="76" xfId="0" applyNumberFormat="1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5" fillId="65" borderId="53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0" fontId="5" fillId="38" borderId="16" xfId="0" applyFont="1" applyFill="1" applyBorder="1" applyAlignment="1">
      <alignment horizontal="center" vertical="center" wrapText="1"/>
    </xf>
    <xf numFmtId="0" fontId="5" fillId="54" borderId="17" xfId="0" applyFont="1" applyFill="1" applyBorder="1" applyAlignment="1">
      <alignment horizontal="center" vertical="center" wrapText="1"/>
    </xf>
    <xf numFmtId="0" fontId="5" fillId="61" borderId="75" xfId="0" applyFont="1" applyFill="1" applyBorder="1" applyAlignment="1">
      <alignment horizontal="center" vertical="center" wrapText="1"/>
    </xf>
    <xf numFmtId="4" fontId="2" fillId="0" borderId="32" xfId="52" applyNumberFormat="1" applyFont="1" applyFill="1" applyBorder="1">
      <alignment/>
      <protection/>
    </xf>
    <xf numFmtId="166" fontId="8" fillId="66" borderId="75" xfId="0" applyNumberFormat="1" applyFont="1" applyFill="1" applyBorder="1" applyAlignment="1">
      <alignment/>
    </xf>
    <xf numFmtId="4" fontId="2" fillId="0" borderId="68" xfId="52" applyNumberFormat="1" applyFont="1" applyBorder="1">
      <alignment/>
      <protection/>
    </xf>
    <xf numFmtId="166" fontId="2" fillId="60" borderId="38" xfId="0" applyNumberFormat="1" applyFont="1" applyFill="1" applyBorder="1" applyAlignment="1">
      <alignment/>
    </xf>
    <xf numFmtId="166" fontId="2" fillId="60" borderId="37" xfId="0" applyNumberFormat="1" applyFont="1" applyFill="1" applyBorder="1" applyAlignment="1">
      <alignment/>
    </xf>
    <xf numFmtId="166" fontId="2" fillId="36" borderId="68" xfId="0" applyNumberFormat="1" applyFont="1" applyFill="1" applyBorder="1" applyAlignment="1">
      <alignment/>
    </xf>
    <xf numFmtId="166" fontId="2" fillId="35" borderId="68" xfId="0" applyNumberFormat="1" applyFont="1" applyFill="1" applyBorder="1" applyAlignment="1">
      <alignment/>
    </xf>
    <xf numFmtId="166" fontId="2" fillId="62" borderId="71" xfId="0" applyNumberFormat="1" applyFont="1" applyFill="1" applyBorder="1" applyAlignment="1">
      <alignment/>
    </xf>
    <xf numFmtId="166" fontId="5" fillId="35" borderId="66" xfId="0" applyNumberFormat="1" applyFont="1" applyFill="1" applyBorder="1" applyAlignment="1">
      <alignment/>
    </xf>
    <xf numFmtId="166" fontId="5" fillId="33" borderId="37" xfId="0" applyNumberFormat="1" applyFont="1" applyFill="1" applyBorder="1" applyAlignment="1">
      <alignment/>
    </xf>
    <xf numFmtId="4" fontId="2" fillId="0" borderId="68" xfId="0" applyNumberFormat="1" applyFont="1" applyBorder="1" applyAlignment="1">
      <alignment/>
    </xf>
    <xf numFmtId="166" fontId="2" fillId="52" borderId="40" xfId="0" applyNumberFormat="1" applyFont="1" applyFill="1" applyBorder="1" applyAlignment="1">
      <alignment/>
    </xf>
    <xf numFmtId="166" fontId="8" fillId="57" borderId="77" xfId="0" applyNumberFormat="1" applyFont="1" applyFill="1" applyBorder="1" applyAlignment="1">
      <alignment/>
    </xf>
    <xf numFmtId="166" fontId="8" fillId="57" borderId="78" xfId="0" applyNumberFormat="1" applyFont="1" applyFill="1" applyBorder="1" applyAlignment="1">
      <alignment/>
    </xf>
    <xf numFmtId="166" fontId="8" fillId="57" borderId="79" xfId="0" applyNumberFormat="1" applyFont="1" applyFill="1" applyBorder="1" applyAlignment="1">
      <alignment/>
    </xf>
    <xf numFmtId="166" fontId="8" fillId="57" borderId="80" xfId="0" applyNumberFormat="1" applyFont="1" applyFill="1" applyBorder="1" applyAlignment="1">
      <alignment/>
    </xf>
    <xf numFmtId="166" fontId="8" fillId="54" borderId="78" xfId="0" applyNumberFormat="1" applyFont="1" applyFill="1" applyBorder="1" applyAlignment="1">
      <alignment/>
    </xf>
    <xf numFmtId="166" fontId="5" fillId="67" borderId="79" xfId="0" applyNumberFormat="1" applyFont="1" applyFill="1" applyBorder="1" applyAlignment="1">
      <alignment/>
    </xf>
    <xf numFmtId="166" fontId="8" fillId="57" borderId="81" xfId="0" applyNumberFormat="1" applyFont="1" applyFill="1" applyBorder="1" applyAlignment="1">
      <alignment/>
    </xf>
    <xf numFmtId="4" fontId="15" fillId="68" borderId="60" xfId="0" applyNumberFormat="1" applyFont="1" applyFill="1" applyBorder="1" applyAlignment="1">
      <alignment/>
    </xf>
    <xf numFmtId="4" fontId="14" fillId="59" borderId="60" xfId="0" applyNumberFormat="1" applyFont="1" applyFill="1" applyBorder="1" applyAlignment="1">
      <alignment/>
    </xf>
    <xf numFmtId="4" fontId="15" fillId="0" borderId="60" xfId="0" applyNumberFormat="1" applyFont="1" applyFill="1" applyBorder="1" applyAlignment="1">
      <alignment/>
    </xf>
    <xf numFmtId="0" fontId="14" fillId="9" borderId="60" xfId="0" applyFont="1" applyFill="1" applyBorder="1" applyAlignment="1">
      <alignment horizontal="center" wrapText="1"/>
    </xf>
    <xf numFmtId="4" fontId="14" fillId="9" borderId="60" xfId="0" applyNumberFormat="1" applyFont="1" applyFill="1" applyBorder="1" applyAlignment="1">
      <alignment horizontal="center" wrapText="1"/>
    </xf>
    <xf numFmtId="10" fontId="14" fillId="9" borderId="60" xfId="0" applyNumberFormat="1" applyFont="1" applyFill="1" applyBorder="1" applyAlignment="1">
      <alignment horizontal="center" wrapText="1"/>
    </xf>
    <xf numFmtId="4" fontId="14" fillId="9" borderId="60" xfId="0" applyNumberFormat="1" applyFont="1" applyFill="1" applyBorder="1" applyAlignment="1">
      <alignment horizontal="right" wrapText="1"/>
    </xf>
    <xf numFmtId="0" fontId="14" fillId="9" borderId="60" xfId="0" applyFont="1" applyFill="1" applyBorder="1" applyAlignment="1">
      <alignment horizontal="right"/>
    </xf>
    <xf numFmtId="4" fontId="15" fillId="9" borderId="60" xfId="0" applyNumberFormat="1" applyFont="1" applyFill="1" applyBorder="1" applyAlignment="1">
      <alignment/>
    </xf>
    <xf numFmtId="10" fontId="15" fillId="9" borderId="60" xfId="0" applyNumberFormat="1" applyFont="1" applyFill="1" applyBorder="1" applyAlignment="1">
      <alignment/>
    </xf>
    <xf numFmtId="4" fontId="15" fillId="9" borderId="60" xfId="0" applyNumberFormat="1" applyFont="1" applyFill="1" applyBorder="1" applyAlignment="1">
      <alignment horizontal="right"/>
    </xf>
    <xf numFmtId="168" fontId="15" fillId="9" borderId="60" xfId="0" applyNumberFormat="1" applyFont="1" applyFill="1" applyBorder="1" applyAlignment="1">
      <alignment horizontal="right"/>
    </xf>
    <xf numFmtId="10" fontId="15" fillId="9" borderId="60" xfId="55" applyNumberFormat="1" applyFont="1" applyFill="1" applyBorder="1" applyAlignment="1" applyProtection="1">
      <alignment/>
      <protection/>
    </xf>
    <xf numFmtId="168" fontId="14" fillId="9" borderId="60" xfId="0" applyNumberFormat="1" applyFont="1" applyFill="1" applyBorder="1" applyAlignment="1">
      <alignment horizontal="left"/>
    </xf>
    <xf numFmtId="4" fontId="14" fillId="9" borderId="60" xfId="0" applyNumberFormat="1" applyFont="1" applyFill="1" applyBorder="1" applyAlignment="1">
      <alignment/>
    </xf>
    <xf numFmtId="10" fontId="14" fillId="9" borderId="60" xfId="0" applyNumberFormat="1" applyFont="1" applyFill="1" applyBorder="1" applyAlignment="1">
      <alignment/>
    </xf>
    <xf numFmtId="4" fontId="14" fillId="9" borderId="60" xfId="0" applyNumberFormat="1" applyFont="1" applyFill="1" applyBorder="1" applyAlignment="1">
      <alignment horizontal="right"/>
    </xf>
    <xf numFmtId="4" fontId="15" fillId="15" borderId="60" xfId="0" applyNumberFormat="1" applyFont="1" applyFill="1" applyBorder="1" applyAlignment="1">
      <alignment/>
    </xf>
    <xf numFmtId="167" fontId="0" fillId="5" borderId="13" xfId="0" applyNumberFormat="1" applyFill="1" applyBorder="1" applyAlignment="1">
      <alignment/>
    </xf>
    <xf numFmtId="167" fontId="2" fillId="36" borderId="82" xfId="0" applyNumberFormat="1" applyFont="1" applyFill="1" applyBorder="1" applyAlignment="1">
      <alignment/>
    </xf>
    <xf numFmtId="167" fontId="5" fillId="33" borderId="83" xfId="0" applyNumberFormat="1" applyFont="1" applyFill="1" applyBorder="1" applyAlignment="1">
      <alignment/>
    </xf>
    <xf numFmtId="167" fontId="2" fillId="36" borderId="84" xfId="0" applyNumberFormat="1" applyFont="1" applyFill="1" applyBorder="1" applyAlignment="1">
      <alignment/>
    </xf>
    <xf numFmtId="167" fontId="5" fillId="69" borderId="17" xfId="0" applyNumberFormat="1" applyFont="1" applyFill="1" applyBorder="1" applyAlignment="1">
      <alignment/>
    </xf>
    <xf numFmtId="0" fontId="5" fillId="35" borderId="85" xfId="0" applyFont="1" applyFill="1" applyBorder="1" applyAlignment="1">
      <alignment horizontal="center" vertical="center" wrapText="1"/>
    </xf>
    <xf numFmtId="167" fontId="2" fillId="35" borderId="86" xfId="0" applyNumberFormat="1" applyFont="1" applyFill="1" applyBorder="1" applyAlignment="1">
      <alignment/>
    </xf>
    <xf numFmtId="167" fontId="2" fillId="35" borderId="87" xfId="0" applyNumberFormat="1" applyFont="1" applyFill="1" applyBorder="1" applyAlignment="1">
      <alignment/>
    </xf>
    <xf numFmtId="167" fontId="5" fillId="37" borderId="88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67" fontId="2" fillId="0" borderId="66" xfId="0" applyNumberFormat="1" applyFont="1" applyFill="1" applyBorder="1" applyAlignment="1">
      <alignment/>
    </xf>
    <xf numFmtId="167" fontId="2" fillId="0" borderId="89" xfId="0" applyNumberFormat="1" applyFont="1" applyFill="1" applyBorder="1" applyAlignment="1">
      <alignment/>
    </xf>
    <xf numFmtId="166" fontId="2" fillId="0" borderId="89" xfId="0" applyNumberFormat="1" applyFont="1" applyFill="1" applyBorder="1" applyAlignment="1">
      <alignment/>
    </xf>
    <xf numFmtId="0" fontId="5" fillId="36" borderId="90" xfId="0" applyFont="1" applyFill="1" applyBorder="1" applyAlignment="1">
      <alignment horizontal="center" vertical="center" wrapText="1"/>
    </xf>
    <xf numFmtId="0" fontId="5" fillId="36" borderId="91" xfId="0" applyFont="1" applyFill="1" applyBorder="1" applyAlignment="1">
      <alignment horizontal="center" vertical="center" wrapText="1"/>
    </xf>
    <xf numFmtId="167" fontId="2" fillId="36" borderId="92" xfId="0" applyNumberFormat="1" applyFont="1" applyFill="1" applyBorder="1" applyAlignment="1">
      <alignment/>
    </xf>
    <xf numFmtId="166" fontId="2" fillId="36" borderId="84" xfId="0" applyNumberFormat="1" applyFont="1" applyFill="1" applyBorder="1" applyAlignment="1">
      <alignment/>
    </xf>
    <xf numFmtId="0" fontId="5" fillId="57" borderId="73" xfId="0" applyFont="1" applyFill="1" applyBorder="1" applyAlignment="1">
      <alignment horizontal="center" vertical="center" wrapText="1"/>
    </xf>
    <xf numFmtId="0" fontId="5" fillId="51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4" fontId="2" fillId="43" borderId="42" xfId="0" applyNumberFormat="1" applyFont="1" applyFill="1" applyBorder="1" applyAlignment="1">
      <alignment horizontal="center"/>
    </xf>
    <xf numFmtId="4" fontId="2" fillId="43" borderId="75" xfId="0" applyNumberFormat="1" applyFont="1" applyFill="1" applyBorder="1" applyAlignment="1">
      <alignment horizontal="center"/>
    </xf>
    <xf numFmtId="4" fontId="15" fillId="59" borderId="60" xfId="0" applyNumberFormat="1" applyFont="1" applyFill="1" applyBorder="1" applyAlignment="1">
      <alignment horizontal="right"/>
    </xf>
    <xf numFmtId="4" fontId="25" fillId="70" borderId="22" xfId="52" applyNumberFormat="1" applyFont="1" applyFill="1" applyBorder="1" applyAlignment="1">
      <alignment vertical="center"/>
      <protection/>
    </xf>
    <xf numFmtId="4" fontId="25" fillId="70" borderId="30" xfId="52" applyNumberFormat="1" applyFont="1" applyFill="1" applyBorder="1" applyAlignment="1">
      <alignment vertical="center"/>
      <protection/>
    </xf>
    <xf numFmtId="167" fontId="2" fillId="70" borderId="60" xfId="0" applyNumberFormat="1" applyFont="1" applyFill="1" applyBorder="1" applyAlignment="1">
      <alignment/>
    </xf>
    <xf numFmtId="167" fontId="2" fillId="70" borderId="84" xfId="0" applyNumberFormat="1" applyFont="1" applyFill="1" applyBorder="1" applyAlignment="1">
      <alignment/>
    </xf>
    <xf numFmtId="166" fontId="2" fillId="71" borderId="32" xfId="0" applyNumberFormat="1" applyFont="1" applyFill="1" applyBorder="1" applyAlignment="1">
      <alignment/>
    </xf>
    <xf numFmtId="0" fontId="2" fillId="43" borderId="0" xfId="0" applyNumberFormat="1" applyFont="1" applyFill="1" applyBorder="1" applyAlignment="1">
      <alignment horizontal="center"/>
    </xf>
    <xf numFmtId="0" fontId="5" fillId="72" borderId="0" xfId="0" applyFont="1" applyFill="1" applyBorder="1" applyAlignment="1">
      <alignment horizontal="center" vertical="center" wrapText="1"/>
    </xf>
    <xf numFmtId="166" fontId="63" fillId="62" borderId="33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0" fontId="5" fillId="54" borderId="93" xfId="0" applyFont="1" applyFill="1" applyBorder="1" applyAlignment="1">
      <alignment horizontal="center" vertical="center" wrapText="1"/>
    </xf>
    <xf numFmtId="167" fontId="5" fillId="54" borderId="94" xfId="0" applyNumberFormat="1" applyFont="1" applyFill="1" applyBorder="1" applyAlignment="1">
      <alignment/>
    </xf>
    <xf numFmtId="167" fontId="5" fillId="54" borderId="95" xfId="0" applyNumberFormat="1" applyFont="1" applyFill="1" applyBorder="1" applyAlignment="1">
      <alignment/>
    </xf>
    <xf numFmtId="167" fontId="2" fillId="0" borderId="27" xfId="0" applyNumberFormat="1" applyFont="1" applyBorder="1" applyAlignment="1">
      <alignment/>
    </xf>
    <xf numFmtId="167" fontId="2" fillId="0" borderId="76" xfId="0" applyNumberFormat="1" applyFont="1" applyFill="1" applyBorder="1" applyAlignment="1">
      <alignment/>
    </xf>
    <xf numFmtId="0" fontId="5" fillId="73" borderId="76" xfId="0" applyFont="1" applyFill="1" applyBorder="1" applyAlignment="1">
      <alignment horizontal="center" vertical="center" wrapText="1"/>
    </xf>
    <xf numFmtId="167" fontId="2" fillId="73" borderId="76" xfId="0" applyNumberFormat="1" applyFont="1" applyFill="1" applyBorder="1" applyAlignment="1">
      <alignment/>
    </xf>
    <xf numFmtId="167" fontId="5" fillId="74" borderId="76" xfId="0" applyNumberFormat="1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2" fillId="43" borderId="42" xfId="0" applyNumberFormat="1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2" fillId="43" borderId="76" xfId="0" applyNumberFormat="1" applyFont="1" applyFill="1" applyBorder="1" applyAlignment="1">
      <alignment horizontal="center"/>
    </xf>
    <xf numFmtId="0" fontId="5" fillId="43" borderId="69" xfId="0" applyFont="1" applyFill="1" applyBorder="1" applyAlignment="1">
      <alignment horizontal="center" vertical="center"/>
    </xf>
    <xf numFmtId="0" fontId="5" fillId="11" borderId="83" xfId="0" applyFont="1" applyFill="1" applyBorder="1" applyAlignment="1">
      <alignment vertical="center"/>
    </xf>
    <xf numFmtId="0" fontId="2" fillId="11" borderId="93" xfId="0" applyFont="1" applyFill="1" applyBorder="1" applyAlignment="1">
      <alignment/>
    </xf>
    <xf numFmtId="167" fontId="2" fillId="73" borderId="96" xfId="0" applyNumberFormat="1" applyFont="1" applyFill="1" applyBorder="1" applyAlignment="1">
      <alignment/>
    </xf>
    <xf numFmtId="167" fontId="2" fillId="0" borderId="97" xfId="0" applyNumberFormat="1" applyFont="1" applyFill="1" applyBorder="1" applyAlignment="1">
      <alignment/>
    </xf>
    <xf numFmtId="167" fontId="5" fillId="74" borderId="98" xfId="0" applyNumberFormat="1" applyFont="1" applyFill="1" applyBorder="1" applyAlignment="1">
      <alignment/>
    </xf>
    <xf numFmtId="167" fontId="5" fillId="74" borderId="99" xfId="0" applyNumberFormat="1" applyFont="1" applyFill="1" applyBorder="1" applyAlignment="1">
      <alignment/>
    </xf>
    <xf numFmtId="167" fontId="5" fillId="54" borderId="93" xfId="0" applyNumberFormat="1" applyFont="1" applyFill="1" applyBorder="1" applyAlignment="1">
      <alignment/>
    </xf>
    <xf numFmtId="4" fontId="2" fillId="13" borderId="32" xfId="52" applyNumberFormat="1" applyFont="1" applyFill="1" applyBorder="1">
      <alignment/>
      <protection/>
    </xf>
    <xf numFmtId="167" fontId="5" fillId="75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66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6" xfId="0" applyFont="1" applyBorder="1" applyAlignment="1">
      <alignment horizontal="left" vertical="center"/>
    </xf>
    <xf numFmtId="166" fontId="2" fillId="52" borderId="34" xfId="0" applyNumberFormat="1" applyFont="1" applyFill="1" applyBorder="1" applyAlignment="1">
      <alignment/>
    </xf>
    <xf numFmtId="0" fontId="2" fillId="0" borderId="100" xfId="0" applyFont="1" applyBorder="1" applyAlignment="1">
      <alignment/>
    </xf>
    <xf numFmtId="0" fontId="2" fillId="0" borderId="100" xfId="0" applyFont="1" applyBorder="1" applyAlignment="1">
      <alignment horizontal="left" vertical="center"/>
    </xf>
    <xf numFmtId="0" fontId="2" fillId="33" borderId="68" xfId="0" applyFont="1" applyFill="1" applyBorder="1" applyAlignment="1">
      <alignment/>
    </xf>
    <xf numFmtId="0" fontId="2" fillId="33" borderId="101" xfId="0" applyFont="1" applyFill="1" applyBorder="1" applyAlignment="1">
      <alignment/>
    </xf>
    <xf numFmtId="0" fontId="2" fillId="33" borderId="87" xfId="0" applyFont="1" applyFill="1" applyBorder="1" applyAlignment="1">
      <alignment/>
    </xf>
    <xf numFmtId="0" fontId="5" fillId="33" borderId="102" xfId="0" applyFont="1" applyFill="1" applyBorder="1" applyAlignment="1">
      <alignment/>
    </xf>
    <xf numFmtId="166" fontId="2" fillId="0" borderId="32" xfId="0" applyNumberFormat="1" applyFont="1" applyFill="1" applyBorder="1" applyAlignment="1">
      <alignment/>
    </xf>
    <xf numFmtId="166" fontId="2" fillId="76" borderId="33" xfId="0" applyNumberFormat="1" applyFont="1" applyFill="1" applyBorder="1" applyAlignment="1">
      <alignment/>
    </xf>
    <xf numFmtId="167" fontId="2" fillId="77" borderId="84" xfId="0" applyNumberFormat="1" applyFont="1" applyFill="1" applyBorder="1" applyAlignment="1">
      <alignment/>
    </xf>
    <xf numFmtId="167" fontId="2" fillId="77" borderId="60" xfId="0" applyNumberFormat="1" applyFont="1" applyFill="1" applyBorder="1" applyAlignment="1">
      <alignment/>
    </xf>
    <xf numFmtId="0" fontId="58" fillId="78" borderId="8" xfId="57" applyFill="1" applyAlignment="1">
      <alignment horizontal="center" vertical="center"/>
    </xf>
    <xf numFmtId="0" fontId="58" fillId="78" borderId="8" xfId="57" applyFill="1" applyAlignment="1">
      <alignment horizontal="center" vertical="center" wrapText="1"/>
    </xf>
    <xf numFmtId="0" fontId="58" fillId="79" borderId="8" xfId="57" applyFill="1" applyAlignment="1">
      <alignment vertical="center"/>
    </xf>
    <xf numFmtId="4" fontId="58" fillId="79" borderId="8" xfId="57" applyNumberFormat="1" applyFill="1" applyAlignment="1">
      <alignment horizontal="right" vertical="center"/>
    </xf>
    <xf numFmtId="0" fontId="58" fillId="80" borderId="8" xfId="57" applyFill="1" applyAlignment="1">
      <alignment vertical="center"/>
    </xf>
    <xf numFmtId="4" fontId="58" fillId="2" borderId="8" xfId="57" applyNumberFormat="1" applyFill="1" applyAlignment="1">
      <alignment horizontal="right" vertical="center"/>
    </xf>
    <xf numFmtId="4" fontId="58" fillId="80" borderId="8" xfId="57" applyNumberFormat="1" applyFill="1" applyAlignment="1">
      <alignment horizontal="right" vertical="center"/>
    </xf>
    <xf numFmtId="0" fontId="58" fillId="68" borderId="8" xfId="57" applyFill="1" applyAlignment="1">
      <alignment vertical="center"/>
    </xf>
    <xf numFmtId="4" fontId="58" fillId="68" borderId="8" xfId="57" applyNumberFormat="1" applyFill="1" applyAlignment="1">
      <alignment horizontal="right" vertical="center"/>
    </xf>
    <xf numFmtId="0" fontId="58" fillId="0" borderId="8" xfId="57" applyAlignment="1">
      <alignment vertical="center"/>
    </xf>
    <xf numFmtId="4" fontId="58" fillId="0" borderId="8" xfId="57" applyNumberFormat="1" applyAlignment="1">
      <alignment horizontal="right" vertical="center"/>
    </xf>
    <xf numFmtId="167" fontId="0" fillId="0" borderId="13" xfId="0" applyNumberFormat="1" applyBorder="1" applyAlignment="1">
      <alignment horizontal="center"/>
    </xf>
    <xf numFmtId="167" fontId="1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41" borderId="24" xfId="0" applyFont="1" applyFill="1" applyBorder="1" applyAlignment="1">
      <alignment horizontal="center"/>
    </xf>
    <xf numFmtId="0" fontId="3" fillId="45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41" borderId="74" xfId="0" applyFont="1" applyFill="1" applyBorder="1" applyAlignment="1">
      <alignment horizontal="center"/>
    </xf>
    <xf numFmtId="9" fontId="5" fillId="81" borderId="52" xfId="0" applyNumberFormat="1" applyFont="1" applyFill="1" applyBorder="1" applyAlignment="1">
      <alignment horizontal="center"/>
    </xf>
    <xf numFmtId="0" fontId="5" fillId="37" borderId="53" xfId="0" applyFont="1" applyFill="1" applyBorder="1" applyAlignment="1">
      <alignment horizontal="center"/>
    </xf>
    <xf numFmtId="9" fontId="0" fillId="0" borderId="42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5" fillId="41" borderId="16" xfId="0" applyFont="1" applyFill="1" applyBorder="1" applyAlignment="1">
      <alignment horizontal="center"/>
    </xf>
    <xf numFmtId="0" fontId="5" fillId="43" borderId="16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/>
    </xf>
    <xf numFmtId="2" fontId="5" fillId="59" borderId="83" xfId="0" applyNumberFormat="1" applyFont="1" applyFill="1" applyBorder="1" applyAlignment="1">
      <alignment horizontal="center" vertical="center" wrapText="1"/>
    </xf>
    <xf numFmtId="2" fontId="0" fillId="0" borderId="103" xfId="0" applyNumberFormat="1" applyBorder="1" applyAlignment="1">
      <alignment horizontal="center" vertical="center" wrapText="1"/>
    </xf>
    <xf numFmtId="2" fontId="0" fillId="0" borderId="93" xfId="0" applyNumberFormat="1" applyBorder="1" applyAlignment="1">
      <alignment horizontal="center" vertical="center" wrapText="1"/>
    </xf>
    <xf numFmtId="0" fontId="5" fillId="82" borderId="69" xfId="0" applyFont="1" applyFill="1" applyBorder="1" applyAlignment="1">
      <alignment horizontal="center"/>
    </xf>
    <xf numFmtId="0" fontId="5" fillId="82" borderId="56" xfId="0" applyFont="1" applyFill="1" applyBorder="1" applyAlignment="1">
      <alignment horizontal="center"/>
    </xf>
    <xf numFmtId="0" fontId="5" fillId="57" borderId="53" xfId="0" applyFont="1" applyFill="1" applyBorder="1" applyAlignment="1">
      <alignment horizontal="center"/>
    </xf>
    <xf numFmtId="0" fontId="14" fillId="34" borderId="60" xfId="0" applyFont="1" applyFill="1" applyBorder="1" applyAlignment="1">
      <alignment horizontal="center"/>
    </xf>
    <xf numFmtId="4" fontId="17" fillId="0" borderId="104" xfId="0" applyNumberFormat="1" applyFont="1" applyBorder="1" applyAlignment="1">
      <alignment horizontal="center" vertical="center"/>
    </xf>
    <xf numFmtId="168" fontId="17" fillId="0" borderId="104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38" borderId="0" xfId="0" applyFont="1" applyFill="1" applyBorder="1" applyAlignment="1">
      <alignment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9" fontId="8" fillId="34" borderId="36" xfId="52" applyNumberFormat="1" applyFont="1" applyFill="1" applyBorder="1" applyAlignment="1">
      <alignment horizontal="center" vertical="center"/>
      <protection/>
    </xf>
    <xf numFmtId="0" fontId="11" fillId="35" borderId="16" xfId="0" applyFont="1" applyFill="1" applyBorder="1" applyAlignment="1">
      <alignment horizontal="center" vertical="center"/>
    </xf>
    <xf numFmtId="169" fontId="19" fillId="0" borderId="13" xfId="52" applyNumberFormat="1" applyFont="1" applyBorder="1" applyAlignment="1">
      <alignment vertical="center" wrapText="1"/>
      <protection/>
    </xf>
    <xf numFmtId="168" fontId="18" fillId="0" borderId="13" xfId="52" applyNumberFormat="1" applyFont="1" applyFill="1" applyBorder="1" applyAlignment="1">
      <alignment horizontal="left" vertical="center" wrapText="1"/>
      <protection/>
    </xf>
    <xf numFmtId="169" fontId="19" fillId="0" borderId="13" xfId="52" applyNumberFormat="1" applyFont="1" applyBorder="1" applyAlignment="1">
      <alignment horizontal="left" vertical="center" wrapText="1"/>
      <protection/>
    </xf>
    <xf numFmtId="168" fontId="18" fillId="52" borderId="13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168" fontId="18" fillId="36" borderId="13" xfId="52" applyNumberFormat="1" applyFont="1" applyFill="1" applyBorder="1" applyAlignment="1">
      <alignment horizontal="center" vertical="center" wrapText="1"/>
      <protection/>
    </xf>
    <xf numFmtId="168" fontId="18" fillId="0" borderId="13" xfId="52" applyNumberFormat="1" applyFont="1" applyFill="1" applyBorder="1" applyAlignment="1">
      <alignment horizontal="center" vertical="center" wrapText="1"/>
      <protection/>
    </xf>
    <xf numFmtId="169" fontId="19" fillId="34" borderId="13" xfId="52" applyNumberFormat="1" applyFont="1" applyFill="1" applyBorder="1" applyAlignment="1">
      <alignment vertical="center" wrapText="1"/>
      <protection/>
    </xf>
    <xf numFmtId="168" fontId="21" fillId="34" borderId="13" xfId="52" applyNumberFormat="1" applyFont="1" applyFill="1" applyBorder="1" applyAlignment="1">
      <alignment horizontal="left" vertical="center" wrapText="1"/>
      <protection/>
    </xf>
    <xf numFmtId="169" fontId="19" fillId="35" borderId="13" xfId="52" applyNumberFormat="1" applyFont="1" applyFill="1" applyBorder="1" applyAlignment="1">
      <alignment horizontal="left" vertical="center"/>
      <protection/>
    </xf>
    <xf numFmtId="10" fontId="18" fillId="35" borderId="13" xfId="52" applyNumberFormat="1" applyFont="1" applyFill="1" applyBorder="1" applyAlignment="1">
      <alignment horizontal="center" vertical="center"/>
      <protection/>
    </xf>
    <xf numFmtId="10" fontId="19" fillId="0" borderId="13" xfId="52" applyNumberFormat="1" applyFont="1" applyFill="1" applyBorder="1" applyAlignment="1">
      <alignment horizontal="center" vertical="center" wrapText="1"/>
      <protection/>
    </xf>
    <xf numFmtId="10" fontId="20" fillId="35" borderId="13" xfId="52" applyNumberFormat="1" applyFont="1" applyFill="1" applyBorder="1" applyAlignment="1">
      <alignment horizontal="center" vertical="center"/>
      <protection/>
    </xf>
    <xf numFmtId="169" fontId="18" fillId="43" borderId="13" xfId="52" applyNumberFormat="1" applyFont="1" applyFill="1" applyBorder="1" applyAlignment="1">
      <alignment horizontal="center" vertical="center"/>
      <protection/>
    </xf>
    <xf numFmtId="169" fontId="19" fillId="0" borderId="13" xfId="52" applyNumberFormat="1" applyFont="1" applyBorder="1" applyAlignment="1">
      <alignment horizontal="left" vertical="center"/>
      <protection/>
    </xf>
    <xf numFmtId="3" fontId="18" fillId="0" borderId="13" xfId="52" applyNumberFormat="1" applyFont="1" applyFill="1" applyBorder="1" applyAlignment="1">
      <alignment horizontal="center" vertical="center"/>
      <protection/>
    </xf>
    <xf numFmtId="3" fontId="18" fillId="0" borderId="13" xfId="52" applyNumberFormat="1" applyFont="1" applyFill="1" applyBorder="1" applyAlignment="1">
      <alignment horizontal="center" vertical="center" wrapText="1"/>
      <protection/>
    </xf>
    <xf numFmtId="10" fontId="18" fillId="0" borderId="13" xfId="56" applyNumberFormat="1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D8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K%20-%202023\Projekt%20WPF%20na%202023%20rok\Kredyty,%20kwota%20d&#322;ugu\Projekt%20WPF%20na%202023%20rok\Obligcje%20-%20odsetki%20i%20sp&#322;at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BK%202024\WPF%202024\Projekt\Obligcje%20-%20odsetki%20i%20sp&#322;ata%20+%20restrukturyzacja-AKTUALIZACJ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_2016\user\apukinska\Pulpit\KREDYTY\2023\Zobowi&#261;zania\Obligcje%20-%20odsetki%20i%20sp&#322;ata%20+%20restrukturyzacja-AKTUALIZACJ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_2016\user\apukinska\Pulpit\materia&#322;%20przetarg%20KREDYT\2024\Obligcje%20-%20odsetki%20i%20sp&#322;ata%20+%20restrukturyzacja-AKTUALIZACJ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ŻE"/>
      <sheetName val="OBLIGACJE"/>
      <sheetName val="Arkusz1"/>
      <sheetName val="Getin Obligacje"/>
      <sheetName val="OBLIGACJE PKO 18"/>
      <sheetName val="OBLIGACJE PKO 17"/>
      <sheetName val="OBLIGACJE PKO 2019"/>
    </sheetNames>
    <sheetDataSet>
      <sheetData sheetId="6">
        <row r="21">
          <cell r="F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ŻE"/>
      <sheetName val="OBLIGACJE"/>
      <sheetName val="Arkusz1"/>
      <sheetName val="Getin Obligacje"/>
      <sheetName val="OBLIGACJE PKO 18"/>
      <sheetName val="OBLIGACJE PKO 17"/>
      <sheetName val="OBLIGACJE PKO 2019"/>
    </sheetNames>
    <sheetDataSet>
      <sheetData sheetId="4">
        <row r="12">
          <cell r="F12">
            <v>1100000</v>
          </cell>
        </row>
      </sheetData>
      <sheetData sheetId="5">
        <row r="13">
          <cell r="F13">
            <v>820000</v>
          </cell>
        </row>
      </sheetData>
      <sheetData sheetId="6">
        <row r="12">
          <cell r="F12">
            <v>2167500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ŻE"/>
      <sheetName val="OBLIGACJE"/>
      <sheetName val="Arkusz1"/>
      <sheetName val="Getin Obligacje"/>
      <sheetName val="OBLIGACJE PKO 18"/>
      <sheetName val="OBLIGACJE PKO 17"/>
      <sheetName val="OBLIGACJE PKO 2019"/>
    </sheetNames>
    <sheetDataSet>
      <sheetData sheetId="4">
        <row r="13">
          <cell r="F13">
            <v>730799.9999999999</v>
          </cell>
        </row>
        <row r="14">
          <cell r="F14">
            <v>600299.9999999999</v>
          </cell>
        </row>
        <row r="15">
          <cell r="F15">
            <v>469799.99999999994</v>
          </cell>
        </row>
        <row r="16">
          <cell r="F16">
            <v>330599.99999999994</v>
          </cell>
        </row>
        <row r="17">
          <cell r="F17">
            <v>191399.99999999997</v>
          </cell>
        </row>
        <row r="18">
          <cell r="F18">
            <v>95699.99999999999</v>
          </cell>
        </row>
      </sheetData>
      <sheetData sheetId="5">
        <row r="14">
          <cell r="F14">
            <v>632283.5616438356</v>
          </cell>
        </row>
        <row r="15">
          <cell r="F15">
            <v>470783.5616438356</v>
          </cell>
        </row>
        <row r="16">
          <cell r="F16">
            <v>309283.5616438356</v>
          </cell>
        </row>
        <row r="17">
          <cell r="F17">
            <v>147783.56164383562</v>
          </cell>
        </row>
      </sheetData>
      <sheetData sheetId="6">
        <row r="13">
          <cell r="F13">
            <v>1692636.4</v>
          </cell>
        </row>
        <row r="14">
          <cell r="F14">
            <v>1692636.4</v>
          </cell>
        </row>
        <row r="15">
          <cell r="F15">
            <v>1692636.4</v>
          </cell>
        </row>
        <row r="16">
          <cell r="F16">
            <v>1565886.4</v>
          </cell>
        </row>
        <row r="17">
          <cell r="F17">
            <v>1221126.4</v>
          </cell>
        </row>
        <row r="18">
          <cell r="F18">
            <v>876366.4</v>
          </cell>
        </row>
        <row r="19">
          <cell r="F19">
            <v>516531.6</v>
          </cell>
        </row>
        <row r="20">
          <cell r="F20">
            <v>131211.6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ŻE"/>
      <sheetName val="OBLIGACJE"/>
      <sheetName val="Arkusz1"/>
      <sheetName val="Getin Obligacje"/>
      <sheetName val="OBLIGACJE PKO 18"/>
      <sheetName val="OBLIGACJE PKO 17"/>
      <sheetName val="OBLIGACJE PKO 2019"/>
    </sheetNames>
    <sheetDataSet>
      <sheetData sheetId="4">
        <row r="13">
          <cell r="F13">
            <v>762300</v>
          </cell>
        </row>
        <row r="14">
          <cell r="F14">
            <v>626175</v>
          </cell>
        </row>
        <row r="15">
          <cell r="F15">
            <v>490050</v>
          </cell>
        </row>
        <row r="16">
          <cell r="F16">
            <v>344850</v>
          </cell>
        </row>
        <row r="17">
          <cell r="F17">
            <v>199650</v>
          </cell>
        </row>
        <row r="18">
          <cell r="F18">
            <v>99825</v>
          </cell>
        </row>
        <row r="19">
          <cell r="F19">
            <v>90717.602739726</v>
          </cell>
        </row>
      </sheetData>
      <sheetData sheetId="5">
        <row r="14">
          <cell r="F14">
            <v>661646.5753424658</v>
          </cell>
        </row>
        <row r="15">
          <cell r="F15">
            <v>492646.5753424658</v>
          </cell>
        </row>
        <row r="16">
          <cell r="F16">
            <v>323646.5753424658</v>
          </cell>
        </row>
        <row r="17">
          <cell r="F17">
            <v>154646.57534246577</v>
          </cell>
        </row>
      </sheetData>
      <sheetData sheetId="6">
        <row r="13">
          <cell r="F13">
            <v>1817831.4</v>
          </cell>
        </row>
        <row r="14">
          <cell r="F14">
            <v>1817831.4</v>
          </cell>
        </row>
        <row r="15">
          <cell r="F15">
            <v>1817831.4</v>
          </cell>
        </row>
        <row r="16">
          <cell r="F16">
            <v>1681706.4</v>
          </cell>
        </row>
        <row r="17">
          <cell r="F17">
            <v>1311446.4</v>
          </cell>
        </row>
        <row r="18">
          <cell r="F18">
            <v>941186.4</v>
          </cell>
        </row>
        <row r="19">
          <cell r="F19">
            <v>554736.6</v>
          </cell>
        </row>
        <row r="20">
          <cell r="F20">
            <v>140916.6</v>
          </cell>
        </row>
        <row r="21">
          <cell r="F21">
            <v>92779.8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2" displayName="Tabela2" ref="B4:E85" comment="" totalsRowCount="1">
  <autoFilter ref="B4:E85"/>
  <tableColumns count="4">
    <tableColumn id="1" name="Data"/>
    <tableColumn id="2" name="I część kredytu"/>
    <tableColumn id="3" name="II część kredytu"/>
    <tableColumn id="4" name="Suma cz. I i cz. II" totalsRowFunction="sum"/>
  </tableColumns>
  <tableStyleInfo name="TableStyleLight9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zoomScaleSheetLayoutView="100" zoomScalePageLayoutView="0" workbookViewId="0" topLeftCell="A1">
      <selection activeCell="Q64" sqref="Q64"/>
    </sheetView>
  </sheetViews>
  <sheetFormatPr defaultColWidth="9.140625" defaultRowHeight="12.75"/>
  <cols>
    <col min="1" max="1" width="7.140625" style="1" customWidth="1"/>
    <col min="2" max="2" width="12.28125" style="1" customWidth="1"/>
    <col min="3" max="3" width="11.28125" style="1" customWidth="1"/>
    <col min="4" max="4" width="12.28125" style="1" customWidth="1"/>
    <col min="5" max="5" width="10.8515625" style="1" customWidth="1"/>
    <col min="6" max="6" width="10.7109375" style="1" customWidth="1"/>
    <col min="7" max="7" width="12.00390625" style="1" customWidth="1"/>
    <col min="8" max="8" width="13.00390625" style="1" customWidth="1"/>
    <col min="9" max="9" width="16.421875" style="1" customWidth="1"/>
    <col min="10" max="11" width="12.57421875" style="1" customWidth="1"/>
    <col min="12" max="12" width="14.00390625" style="1" customWidth="1"/>
    <col min="13" max="15" width="12.7109375" style="1" customWidth="1"/>
    <col min="16" max="16" width="13.57421875" style="1" customWidth="1"/>
    <col min="17" max="17" width="13.421875" style="1" customWidth="1"/>
    <col min="18" max="18" width="13.7109375" style="1" customWidth="1"/>
    <col min="19" max="19" width="12.421875" style="1" customWidth="1"/>
    <col min="20" max="22" width="13.57421875" style="1" customWidth="1"/>
    <col min="23" max="23" width="9.28125" style="1" customWidth="1"/>
    <col min="24" max="24" width="15.140625" style="1" customWidth="1"/>
    <col min="25" max="25" width="13.140625" style="1" customWidth="1"/>
    <col min="26" max="26" width="11.8515625" style="1" customWidth="1"/>
    <col min="27" max="16384" width="9.140625" style="1" customWidth="1"/>
  </cols>
  <sheetData>
    <row r="1" spans="3:16" ht="21">
      <c r="C1" s="846" t="s">
        <v>0</v>
      </c>
      <c r="D1" s="846"/>
      <c r="E1" s="846"/>
      <c r="F1" s="846"/>
      <c r="G1" s="846"/>
      <c r="H1" s="2" t="s">
        <v>1</v>
      </c>
      <c r="I1" s="2"/>
      <c r="L1" s="847" t="s">
        <v>2</v>
      </c>
      <c r="M1" s="847"/>
      <c r="N1" s="847"/>
      <c r="O1" s="847"/>
      <c r="P1" s="847"/>
    </row>
    <row r="2" spans="17:26" ht="11.25">
      <c r="Q2" s="3"/>
      <c r="R2" s="3"/>
      <c r="S2" s="4"/>
      <c r="T2" s="5"/>
      <c r="Z2" s="6"/>
    </row>
    <row r="3" spans="1:20" ht="33.75" customHeight="1">
      <c r="A3" s="848" t="s">
        <v>3</v>
      </c>
      <c r="B3" s="848"/>
      <c r="C3" s="7" t="s">
        <v>4</v>
      </c>
      <c r="D3" s="8" t="s">
        <v>4</v>
      </c>
      <c r="E3" s="8" t="s">
        <v>4</v>
      </c>
      <c r="F3" s="9" t="s">
        <v>4</v>
      </c>
      <c r="G3" s="10"/>
      <c r="H3" s="10"/>
      <c r="I3" s="10"/>
      <c r="J3" s="10"/>
      <c r="K3" s="7" t="s">
        <v>4</v>
      </c>
      <c r="L3" s="8"/>
      <c r="M3" s="9" t="s">
        <v>4</v>
      </c>
      <c r="Q3" s="3"/>
      <c r="R3" s="3"/>
      <c r="S3" s="4"/>
      <c r="T3" s="5"/>
    </row>
    <row r="4" spans="2:20" ht="11.25">
      <c r="B4" s="849"/>
      <c r="C4" s="849"/>
      <c r="D4" s="849"/>
      <c r="E4" s="849"/>
      <c r="F4" s="849"/>
      <c r="Q4" s="3"/>
      <c r="R4" s="3"/>
      <c r="S4" s="4"/>
      <c r="T4" s="5"/>
    </row>
    <row r="5" spans="1:15" ht="11.25">
      <c r="A5" s="11" t="s">
        <v>5</v>
      </c>
      <c r="B5" s="11">
        <v>0.65</v>
      </c>
      <c r="C5" s="11">
        <v>2.4</v>
      </c>
      <c r="D5" s="11">
        <v>0.87</v>
      </c>
      <c r="E5" s="11">
        <v>4.22</v>
      </c>
      <c r="F5" s="11">
        <v>4.22</v>
      </c>
      <c r="G5" s="11">
        <v>1.5</v>
      </c>
      <c r="H5" s="11">
        <v>0.9</v>
      </c>
      <c r="I5" s="11">
        <v>1.4</v>
      </c>
      <c r="J5" s="11">
        <v>1.2</v>
      </c>
      <c r="K5" s="12">
        <v>1.64</v>
      </c>
      <c r="M5" s="12">
        <v>1.89</v>
      </c>
      <c r="N5" s="13"/>
      <c r="O5" s="13"/>
    </row>
    <row r="6" spans="1:15" ht="22.5">
      <c r="A6" s="14" t="s">
        <v>6</v>
      </c>
      <c r="B6" s="11">
        <f>0.65+0.68</f>
        <v>1.33</v>
      </c>
      <c r="C6" s="11">
        <f>2.4+0.68</f>
        <v>3.08</v>
      </c>
      <c r="D6" s="11">
        <f>0.87+0.68</f>
        <v>1.55</v>
      </c>
      <c r="E6" s="11">
        <f>4.22+0.68</f>
        <v>4.8999999999999995</v>
      </c>
      <c r="F6" s="11">
        <f>4.22+0.68</f>
        <v>4.8999999999999995</v>
      </c>
      <c r="G6" s="11">
        <f>1.5+0.69</f>
        <v>2.19</v>
      </c>
      <c r="H6" s="11">
        <f>0.9+0.69</f>
        <v>1.5899999999999999</v>
      </c>
      <c r="I6" s="11">
        <f>1.4+0.69</f>
        <v>2.09</v>
      </c>
      <c r="J6" s="11">
        <f>1.2+0.69</f>
        <v>1.89</v>
      </c>
      <c r="K6" s="15">
        <v>1.9</v>
      </c>
      <c r="M6" s="15">
        <f>1.89+0.26</f>
        <v>2.15</v>
      </c>
      <c r="N6" s="16"/>
      <c r="O6" s="16"/>
    </row>
    <row r="7" spans="1:22" ht="15">
      <c r="A7" s="17" t="s">
        <v>7</v>
      </c>
      <c r="C7" s="850" t="s">
        <v>8</v>
      </c>
      <c r="D7" s="850"/>
      <c r="E7" s="850"/>
      <c r="F7" s="850"/>
      <c r="G7" s="851" t="s">
        <v>9</v>
      </c>
      <c r="H7" s="851"/>
      <c r="I7" s="851"/>
      <c r="J7" s="851"/>
      <c r="K7" s="852" t="s">
        <v>10</v>
      </c>
      <c r="L7" s="852"/>
      <c r="M7" s="852"/>
      <c r="N7" s="18">
        <v>0.03</v>
      </c>
      <c r="O7" s="18">
        <v>0.03</v>
      </c>
      <c r="V7" s="1" t="s">
        <v>11</v>
      </c>
    </row>
    <row r="8" spans="1:20" ht="11.25">
      <c r="A8" s="19"/>
      <c r="B8" s="20">
        <v>5</v>
      </c>
      <c r="C8" s="20">
        <v>10</v>
      </c>
      <c r="D8" s="20">
        <v>11</v>
      </c>
      <c r="E8" s="20">
        <v>12</v>
      </c>
      <c r="F8" s="20">
        <v>13</v>
      </c>
      <c r="G8" s="20">
        <v>14</v>
      </c>
      <c r="H8" s="20">
        <v>15</v>
      </c>
      <c r="I8" s="20">
        <v>16</v>
      </c>
      <c r="J8" s="20">
        <v>17</v>
      </c>
      <c r="K8" s="20">
        <v>18</v>
      </c>
      <c r="L8" s="21">
        <v>19</v>
      </c>
      <c r="M8" s="20">
        <v>20</v>
      </c>
      <c r="N8" s="20">
        <v>21</v>
      </c>
      <c r="O8" s="20">
        <v>22</v>
      </c>
      <c r="P8" s="20">
        <v>23</v>
      </c>
      <c r="Q8" s="22">
        <v>24</v>
      </c>
      <c r="R8" s="23" t="s">
        <v>12</v>
      </c>
      <c r="S8" s="24"/>
      <c r="T8" s="25">
        <v>24</v>
      </c>
    </row>
    <row r="9" spans="1:20" ht="44.25" customHeight="1">
      <c r="A9" s="26" t="s">
        <v>13</v>
      </c>
      <c r="B9" s="27" t="s">
        <v>14</v>
      </c>
      <c r="C9" s="28" t="s">
        <v>15</v>
      </c>
      <c r="D9" s="28" t="s">
        <v>16</v>
      </c>
      <c r="E9" s="27" t="s">
        <v>17</v>
      </c>
      <c r="F9" s="29" t="s">
        <v>18</v>
      </c>
      <c r="G9" s="30" t="s">
        <v>19</v>
      </c>
      <c r="H9" s="31" t="s">
        <v>20</v>
      </c>
      <c r="I9" s="31" t="s">
        <v>21</v>
      </c>
      <c r="J9" s="32" t="s">
        <v>22</v>
      </c>
      <c r="K9" s="33" t="s">
        <v>23</v>
      </c>
      <c r="L9" s="34" t="s">
        <v>24</v>
      </c>
      <c r="M9" s="35" t="s">
        <v>25</v>
      </c>
      <c r="N9" s="36" t="s">
        <v>26</v>
      </c>
      <c r="O9" s="36" t="s">
        <v>27</v>
      </c>
      <c r="P9" s="37" t="s">
        <v>28</v>
      </c>
      <c r="Q9" s="38" t="s">
        <v>29</v>
      </c>
      <c r="R9" s="39" t="s">
        <v>30</v>
      </c>
      <c r="S9" s="40" t="s">
        <v>31</v>
      </c>
      <c r="T9" s="41" t="s">
        <v>13</v>
      </c>
    </row>
    <row r="10" spans="1:23" ht="11.25">
      <c r="A10" s="42">
        <v>2020</v>
      </c>
      <c r="B10" s="43">
        <v>1102991</v>
      </c>
      <c r="C10" s="43">
        <f>30000</f>
        <v>30000</v>
      </c>
      <c r="D10" s="43">
        <v>0</v>
      </c>
      <c r="E10" s="43">
        <v>94500</v>
      </c>
      <c r="F10" s="44">
        <v>94500</v>
      </c>
      <c r="G10" s="45">
        <v>2000000</v>
      </c>
      <c r="H10" s="43"/>
      <c r="I10" s="43">
        <v>875000</v>
      </c>
      <c r="J10" s="46"/>
      <c r="K10" s="47"/>
      <c r="L10" s="48">
        <f aca="true" t="shared" si="0" ref="L10:L31">SUM(B10:K10)</f>
        <v>4196991</v>
      </c>
      <c r="M10" s="49"/>
      <c r="N10" s="50"/>
      <c r="O10" s="50"/>
      <c r="P10" s="51">
        <f>SUM(M10:M10)</f>
        <v>0</v>
      </c>
      <c r="Q10" s="52">
        <v>9068982</v>
      </c>
      <c r="R10" s="53">
        <v>9068982</v>
      </c>
      <c r="S10" s="54">
        <v>0</v>
      </c>
      <c r="T10" s="55">
        <v>2020</v>
      </c>
      <c r="U10" s="56"/>
      <c r="V10" s="57" t="s">
        <v>32</v>
      </c>
      <c r="W10" s="6"/>
    </row>
    <row r="11" spans="1:22" ht="11.25">
      <c r="A11" s="58">
        <v>2021</v>
      </c>
      <c r="B11" s="59"/>
      <c r="C11" s="59"/>
      <c r="D11" s="59">
        <f>727000*2</f>
        <v>1454000</v>
      </c>
      <c r="E11" s="60">
        <v>126000</v>
      </c>
      <c r="F11" s="61">
        <v>126000</v>
      </c>
      <c r="G11" s="62">
        <f>1000000-1000000</f>
        <v>0</v>
      </c>
      <c r="H11" s="59"/>
      <c r="I11" s="59">
        <v>3375000</v>
      </c>
      <c r="J11" s="63"/>
      <c r="K11" s="64">
        <f>13695.64+7304.36</f>
        <v>21000</v>
      </c>
      <c r="L11" s="48">
        <f t="shared" si="0"/>
        <v>5102000</v>
      </c>
      <c r="M11" s="65">
        <v>1000</v>
      </c>
      <c r="N11" s="66"/>
      <c r="O11" s="66"/>
      <c r="P11" s="67">
        <f aca="true" t="shared" si="1" ref="P11:P32">SUM(M11:O11)</f>
        <v>1000</v>
      </c>
      <c r="Q11" s="52">
        <f aca="true" t="shared" si="2" ref="Q11:Q32">L11+P11</f>
        <v>5103000</v>
      </c>
      <c r="R11" s="68">
        <v>5103000</v>
      </c>
      <c r="S11" s="69">
        <f aca="true" t="shared" si="3" ref="S11:S31">R11-Q11</f>
        <v>0</v>
      </c>
      <c r="T11" s="70">
        <v>2021</v>
      </c>
      <c r="U11" s="1" t="s">
        <v>33</v>
      </c>
      <c r="V11" s="11" t="s">
        <v>34</v>
      </c>
    </row>
    <row r="12" spans="1:22" ht="11.25">
      <c r="A12" s="58">
        <v>2022</v>
      </c>
      <c r="B12" s="43"/>
      <c r="C12" s="43"/>
      <c r="D12" s="59"/>
      <c r="E12" s="43">
        <v>0</v>
      </c>
      <c r="F12" s="44">
        <v>0</v>
      </c>
      <c r="G12" s="45">
        <f>1000000+1000000</f>
        <v>2000000</v>
      </c>
      <c r="H12" s="43"/>
      <c r="I12" s="43"/>
      <c r="J12" s="46"/>
      <c r="K12" s="47">
        <v>15000</v>
      </c>
      <c r="L12" s="48">
        <f t="shared" si="0"/>
        <v>2015000</v>
      </c>
      <c r="M12" s="65">
        <v>1000</v>
      </c>
      <c r="N12" s="71">
        <v>50000</v>
      </c>
      <c r="O12" s="66"/>
      <c r="P12" s="67">
        <f t="shared" si="1"/>
        <v>51000</v>
      </c>
      <c r="Q12" s="52">
        <f t="shared" si="2"/>
        <v>2066000</v>
      </c>
      <c r="R12" s="68">
        <v>2016000</v>
      </c>
      <c r="S12" s="69">
        <f t="shared" si="3"/>
        <v>-50000</v>
      </c>
      <c r="T12" s="70">
        <v>2022</v>
      </c>
      <c r="U12" s="1" t="s">
        <v>33</v>
      </c>
      <c r="V12" s="11"/>
    </row>
    <row r="13" spans="1:22" ht="11.25">
      <c r="A13" s="58">
        <v>2023</v>
      </c>
      <c r="B13" s="43"/>
      <c r="C13" s="43">
        <v>900000</v>
      </c>
      <c r="D13" s="59">
        <f>2908759-1454000</f>
        <v>1454759</v>
      </c>
      <c r="E13" s="43">
        <v>126000</v>
      </c>
      <c r="F13" s="44">
        <v>126000</v>
      </c>
      <c r="G13" s="45">
        <v>2000000</v>
      </c>
      <c r="H13" s="43"/>
      <c r="I13" s="43"/>
      <c r="J13" s="46"/>
      <c r="K13" s="47">
        <v>23478.28</v>
      </c>
      <c r="L13" s="48">
        <f t="shared" si="0"/>
        <v>4630237.28</v>
      </c>
      <c r="M13" s="65">
        <v>1000</v>
      </c>
      <c r="N13" s="66">
        <v>100000</v>
      </c>
      <c r="O13" s="66">
        <v>200000</v>
      </c>
      <c r="P13" s="67">
        <f t="shared" si="1"/>
        <v>301000</v>
      </c>
      <c r="Q13" s="52">
        <f t="shared" si="2"/>
        <v>4931237.28</v>
      </c>
      <c r="R13" s="68">
        <v>4931237.28</v>
      </c>
      <c r="S13" s="69">
        <f t="shared" si="3"/>
        <v>0</v>
      </c>
      <c r="T13" s="70">
        <v>2023</v>
      </c>
      <c r="U13" s="1" t="s">
        <v>33</v>
      </c>
      <c r="V13" s="11"/>
    </row>
    <row r="14" spans="1:22" ht="11.25">
      <c r="A14" s="58">
        <v>2024</v>
      </c>
      <c r="B14" s="43"/>
      <c r="C14" s="43"/>
      <c r="D14" s="43"/>
      <c r="E14" s="43">
        <v>126000</v>
      </c>
      <c r="F14" s="44">
        <v>126000</v>
      </c>
      <c r="G14" s="45">
        <v>1500000</v>
      </c>
      <c r="H14" s="43">
        <v>2500000</v>
      </c>
      <c r="I14" s="43">
        <f>1875000</f>
        <v>1875000</v>
      </c>
      <c r="J14" s="46"/>
      <c r="K14" s="47">
        <v>65217.4</v>
      </c>
      <c r="L14" s="48">
        <f t="shared" si="0"/>
        <v>6192217.4</v>
      </c>
      <c r="M14" s="65">
        <v>1000</v>
      </c>
      <c r="N14" s="66">
        <v>150000</v>
      </c>
      <c r="O14" s="66">
        <v>200000</v>
      </c>
      <c r="P14" s="67">
        <f t="shared" si="1"/>
        <v>351000</v>
      </c>
      <c r="Q14" s="52">
        <f t="shared" si="2"/>
        <v>6543217.4</v>
      </c>
      <c r="R14" s="68">
        <v>6543217.4</v>
      </c>
      <c r="S14" s="69">
        <f t="shared" si="3"/>
        <v>0</v>
      </c>
      <c r="T14" s="70">
        <v>2024</v>
      </c>
      <c r="V14" s="11" t="s">
        <v>35</v>
      </c>
    </row>
    <row r="15" spans="1:22" ht="11.25">
      <c r="A15" s="58">
        <v>2025</v>
      </c>
      <c r="B15" s="43"/>
      <c r="C15" s="43"/>
      <c r="D15" s="43"/>
      <c r="E15" s="43">
        <v>126000</v>
      </c>
      <c r="F15" s="44">
        <v>126000</v>
      </c>
      <c r="G15" s="45"/>
      <c r="H15" s="43">
        <v>2500000</v>
      </c>
      <c r="I15" s="43">
        <f>1875000</f>
        <v>1875000</v>
      </c>
      <c r="J15" s="46"/>
      <c r="K15" s="47">
        <v>65217.4</v>
      </c>
      <c r="L15" s="48">
        <f t="shared" si="0"/>
        <v>4692217.4</v>
      </c>
      <c r="M15" s="65">
        <v>2000</v>
      </c>
      <c r="N15" s="66">
        <v>150000</v>
      </c>
      <c r="O15" s="66">
        <v>200000</v>
      </c>
      <c r="P15" s="67">
        <f t="shared" si="1"/>
        <v>352000</v>
      </c>
      <c r="Q15" s="52">
        <f t="shared" si="2"/>
        <v>5044217.4</v>
      </c>
      <c r="R15" s="68">
        <v>5044217.4</v>
      </c>
      <c r="S15" s="69">
        <f t="shared" si="3"/>
        <v>0</v>
      </c>
      <c r="T15" s="70">
        <v>2025</v>
      </c>
      <c r="V15" s="11" t="s">
        <v>36</v>
      </c>
    </row>
    <row r="16" spans="1:22" ht="11.25">
      <c r="A16" s="58">
        <v>2026</v>
      </c>
      <c r="B16" s="43"/>
      <c r="C16" s="43"/>
      <c r="D16" s="43"/>
      <c r="E16" s="43">
        <v>126000</v>
      </c>
      <c r="F16" s="44">
        <v>126000</v>
      </c>
      <c r="G16" s="45"/>
      <c r="H16" s="43">
        <v>2500000</v>
      </c>
      <c r="I16" s="43">
        <v>1875000</v>
      </c>
      <c r="J16" s="46"/>
      <c r="K16" s="47">
        <v>65217.4</v>
      </c>
      <c r="L16" s="48">
        <f t="shared" si="0"/>
        <v>4692217.4</v>
      </c>
      <c r="M16" s="65">
        <v>4000</v>
      </c>
      <c r="N16" s="66">
        <v>200000</v>
      </c>
      <c r="O16" s="66">
        <v>200000</v>
      </c>
      <c r="P16" s="67">
        <f t="shared" si="1"/>
        <v>404000</v>
      </c>
      <c r="Q16" s="52">
        <f t="shared" si="2"/>
        <v>5096217.4</v>
      </c>
      <c r="R16" s="68">
        <v>5096217.4</v>
      </c>
      <c r="S16" s="69">
        <f t="shared" si="3"/>
        <v>0</v>
      </c>
      <c r="T16" s="70">
        <v>2026</v>
      </c>
      <c r="V16" s="11" t="s">
        <v>37</v>
      </c>
    </row>
    <row r="17" spans="1:22" ht="11.25">
      <c r="A17" s="58">
        <v>2027</v>
      </c>
      <c r="B17" s="43"/>
      <c r="C17" s="43"/>
      <c r="D17" s="43"/>
      <c r="E17" s="43">
        <v>114000</v>
      </c>
      <c r="F17" s="44">
        <v>149591</v>
      </c>
      <c r="G17" s="45"/>
      <c r="H17" s="43">
        <v>2500000</v>
      </c>
      <c r="I17" s="43">
        <v>2000000</v>
      </c>
      <c r="J17" s="46">
        <v>1875000</v>
      </c>
      <c r="K17" s="47">
        <v>293478.28</v>
      </c>
      <c r="L17" s="48">
        <f t="shared" si="0"/>
        <v>6932069.28</v>
      </c>
      <c r="M17" s="65">
        <v>5000</v>
      </c>
      <c r="N17" s="66">
        <v>200000</v>
      </c>
      <c r="O17" s="66">
        <v>200000</v>
      </c>
      <c r="P17" s="67">
        <f t="shared" si="1"/>
        <v>405000</v>
      </c>
      <c r="Q17" s="52">
        <f t="shared" si="2"/>
        <v>7337069.28</v>
      </c>
      <c r="R17" s="68">
        <v>7337069.28</v>
      </c>
      <c r="S17" s="69">
        <f t="shared" si="3"/>
        <v>0</v>
      </c>
      <c r="T17" s="70">
        <v>2027</v>
      </c>
      <c r="V17" s="72" t="s">
        <v>38</v>
      </c>
    </row>
    <row r="18" spans="1:22" ht="11.25">
      <c r="A18" s="58">
        <v>2028</v>
      </c>
      <c r="B18" s="43"/>
      <c r="C18" s="43"/>
      <c r="D18" s="43"/>
      <c r="E18" s="43"/>
      <c r="F18" s="44"/>
      <c r="G18" s="45"/>
      <c r="H18" s="43"/>
      <c r="I18" s="43">
        <v>2000000</v>
      </c>
      <c r="J18" s="46">
        <v>5100000</v>
      </c>
      <c r="K18" s="47">
        <v>293478.28</v>
      </c>
      <c r="L18" s="48">
        <f t="shared" si="0"/>
        <v>7393478.28</v>
      </c>
      <c r="M18" s="65">
        <v>14000</v>
      </c>
      <c r="N18" s="66">
        <v>350000</v>
      </c>
      <c r="O18" s="66">
        <v>500000</v>
      </c>
      <c r="P18" s="67">
        <f t="shared" si="1"/>
        <v>864000</v>
      </c>
      <c r="Q18" s="52">
        <f t="shared" si="2"/>
        <v>8257478.28</v>
      </c>
      <c r="R18" s="68">
        <v>8257478.28</v>
      </c>
      <c r="S18" s="69">
        <f t="shared" si="3"/>
        <v>0</v>
      </c>
      <c r="T18" s="70">
        <v>2028</v>
      </c>
      <c r="V18" s="72" t="s">
        <v>39</v>
      </c>
    </row>
    <row r="19" spans="1:22" ht="11.25">
      <c r="A19" s="58">
        <v>2029</v>
      </c>
      <c r="B19" s="43"/>
      <c r="C19" s="43"/>
      <c r="D19" s="43"/>
      <c r="E19" s="43"/>
      <c r="F19" s="44"/>
      <c r="G19" s="45"/>
      <c r="H19" s="43"/>
      <c r="I19" s="43">
        <v>1375000</v>
      </c>
      <c r="J19" s="46">
        <v>5100000</v>
      </c>
      <c r="K19" s="47">
        <v>652173.92</v>
      </c>
      <c r="L19" s="48">
        <f t="shared" si="0"/>
        <v>7127173.92</v>
      </c>
      <c r="M19" s="65">
        <v>20000</v>
      </c>
      <c r="N19" s="66">
        <v>1000000</v>
      </c>
      <c r="O19" s="66">
        <v>500000</v>
      </c>
      <c r="P19" s="67">
        <f t="shared" si="1"/>
        <v>1520000</v>
      </c>
      <c r="Q19" s="52">
        <f t="shared" si="2"/>
        <v>8647173.92</v>
      </c>
      <c r="R19" s="68">
        <v>8647173.92</v>
      </c>
      <c r="S19" s="69">
        <f t="shared" si="3"/>
        <v>0</v>
      </c>
      <c r="T19" s="70">
        <v>2029</v>
      </c>
      <c r="V19" s="72" t="s">
        <v>40</v>
      </c>
    </row>
    <row r="20" spans="1:22" ht="11.25">
      <c r="A20" s="58">
        <v>2030</v>
      </c>
      <c r="B20" s="43"/>
      <c r="C20" s="43"/>
      <c r="D20" s="43"/>
      <c r="E20" s="43"/>
      <c r="F20" s="44"/>
      <c r="G20" s="45"/>
      <c r="H20" s="43"/>
      <c r="I20" s="43">
        <v>1375000</v>
      </c>
      <c r="J20" s="46">
        <v>5323000</v>
      </c>
      <c r="K20" s="47">
        <v>652173.92</v>
      </c>
      <c r="L20" s="48">
        <f t="shared" si="0"/>
        <v>7350173.92</v>
      </c>
      <c r="M20" s="65">
        <v>20000</v>
      </c>
      <c r="N20" s="66">
        <v>1000000</v>
      </c>
      <c r="O20" s="66">
        <v>500000</v>
      </c>
      <c r="P20" s="67">
        <f t="shared" si="1"/>
        <v>1520000</v>
      </c>
      <c r="Q20" s="52">
        <f t="shared" si="2"/>
        <v>8870173.92</v>
      </c>
      <c r="R20" s="68">
        <v>8870173.92</v>
      </c>
      <c r="S20" s="69">
        <f t="shared" si="3"/>
        <v>0</v>
      </c>
      <c r="T20" s="70">
        <v>2030</v>
      </c>
      <c r="V20" s="72" t="s">
        <v>41</v>
      </c>
    </row>
    <row r="21" spans="1:20" ht="11.25">
      <c r="A21" s="58">
        <v>2031</v>
      </c>
      <c r="B21" s="43"/>
      <c r="C21" s="43"/>
      <c r="D21" s="43"/>
      <c r="E21" s="43"/>
      <c r="F21" s="44"/>
      <c r="G21" s="45"/>
      <c r="H21" s="43"/>
      <c r="I21" s="43">
        <v>0</v>
      </c>
      <c r="J21" s="46">
        <v>5700000</v>
      </c>
      <c r="K21" s="47">
        <v>652173.92</v>
      </c>
      <c r="L21" s="48">
        <f t="shared" si="0"/>
        <v>6352173.92</v>
      </c>
      <c r="M21" s="65">
        <v>90000</v>
      </c>
      <c r="N21" s="66">
        <v>1000000</v>
      </c>
      <c r="O21" s="66">
        <v>500000</v>
      </c>
      <c r="P21" s="67">
        <f t="shared" si="1"/>
        <v>1590000</v>
      </c>
      <c r="Q21" s="52">
        <f t="shared" si="2"/>
        <v>7942173.92</v>
      </c>
      <c r="R21" s="68">
        <v>7942173.92</v>
      </c>
      <c r="S21" s="69">
        <f t="shared" si="3"/>
        <v>0</v>
      </c>
      <c r="T21" s="70">
        <v>2031</v>
      </c>
    </row>
    <row r="22" spans="1:20" ht="11.25">
      <c r="A22" s="58">
        <v>2032</v>
      </c>
      <c r="B22" s="43"/>
      <c r="C22" s="43"/>
      <c r="D22" s="43"/>
      <c r="E22" s="43"/>
      <c r="F22" s="44"/>
      <c r="G22" s="45"/>
      <c r="H22" s="43"/>
      <c r="I22" s="43"/>
      <c r="J22" s="46">
        <v>1941000</v>
      </c>
      <c r="K22" s="73">
        <v>1695652.16</v>
      </c>
      <c r="L22" s="48">
        <f t="shared" si="0"/>
        <v>3636652.16</v>
      </c>
      <c r="M22" s="65">
        <v>1000000</v>
      </c>
      <c r="N22" s="66">
        <v>2000000</v>
      </c>
      <c r="O22" s="66">
        <v>500000</v>
      </c>
      <c r="P22" s="67">
        <f t="shared" si="1"/>
        <v>3500000</v>
      </c>
      <c r="Q22" s="52">
        <f t="shared" si="2"/>
        <v>7136652.16</v>
      </c>
      <c r="R22" s="68">
        <v>7136652.16</v>
      </c>
      <c r="S22" s="69">
        <f t="shared" si="3"/>
        <v>0</v>
      </c>
      <c r="T22" s="70">
        <v>2032</v>
      </c>
    </row>
    <row r="23" spans="1:20" ht="11.25">
      <c r="A23" s="58">
        <v>2033</v>
      </c>
      <c r="B23" s="43"/>
      <c r="C23" s="43"/>
      <c r="D23" s="43"/>
      <c r="E23" s="43"/>
      <c r="F23" s="44"/>
      <c r="G23" s="45"/>
      <c r="H23" s="43"/>
      <c r="I23" s="43">
        <v>0</v>
      </c>
      <c r="J23" s="46"/>
      <c r="K23" s="74">
        <v>1695652.16</v>
      </c>
      <c r="L23" s="48">
        <f t="shared" si="0"/>
        <v>1695652.16</v>
      </c>
      <c r="M23" s="65">
        <v>2000000</v>
      </c>
      <c r="N23" s="66">
        <v>2000000</v>
      </c>
      <c r="O23" s="66">
        <v>500000</v>
      </c>
      <c r="P23" s="67">
        <f t="shared" si="1"/>
        <v>4500000</v>
      </c>
      <c r="Q23" s="52">
        <f t="shared" si="2"/>
        <v>6195652.16</v>
      </c>
      <c r="R23" s="68">
        <v>6195652.16</v>
      </c>
      <c r="S23" s="69">
        <f t="shared" si="3"/>
        <v>0</v>
      </c>
      <c r="T23" s="70">
        <v>2033</v>
      </c>
    </row>
    <row r="24" spans="1:20" ht="11.25">
      <c r="A24" s="58">
        <v>2034</v>
      </c>
      <c r="B24" s="43"/>
      <c r="C24" s="43"/>
      <c r="D24" s="43"/>
      <c r="E24" s="43"/>
      <c r="F24" s="44"/>
      <c r="G24" s="45"/>
      <c r="H24" s="43"/>
      <c r="I24" s="43">
        <v>0</v>
      </c>
      <c r="J24" s="46"/>
      <c r="K24" s="74">
        <v>1695652.16</v>
      </c>
      <c r="L24" s="48">
        <f t="shared" si="0"/>
        <v>1695652.16</v>
      </c>
      <c r="M24" s="65">
        <v>2000000</v>
      </c>
      <c r="N24" s="66">
        <v>2000000</v>
      </c>
      <c r="O24" s="66">
        <v>500000</v>
      </c>
      <c r="P24" s="67">
        <f t="shared" si="1"/>
        <v>4500000</v>
      </c>
      <c r="Q24" s="52">
        <f t="shared" si="2"/>
        <v>6195652.16</v>
      </c>
      <c r="R24" s="68">
        <v>6195652.16</v>
      </c>
      <c r="S24" s="69">
        <f t="shared" si="3"/>
        <v>0</v>
      </c>
      <c r="T24" s="70">
        <v>2034</v>
      </c>
    </row>
    <row r="25" spans="1:20" ht="11.25">
      <c r="A25" s="58">
        <v>2035</v>
      </c>
      <c r="B25" s="43"/>
      <c r="C25" s="43"/>
      <c r="D25" s="43"/>
      <c r="E25" s="43"/>
      <c r="F25" s="44"/>
      <c r="G25" s="45"/>
      <c r="H25" s="43"/>
      <c r="I25" s="43">
        <v>0</v>
      </c>
      <c r="J25" s="46"/>
      <c r="K25" s="74">
        <v>1695652.16</v>
      </c>
      <c r="L25" s="48">
        <f t="shared" si="0"/>
        <v>1695652.16</v>
      </c>
      <c r="M25" s="65">
        <v>2000000</v>
      </c>
      <c r="N25" s="66">
        <v>1000000</v>
      </c>
      <c r="O25" s="66">
        <v>500000</v>
      </c>
      <c r="P25" s="67">
        <f t="shared" si="1"/>
        <v>3500000</v>
      </c>
      <c r="Q25" s="52">
        <f t="shared" si="2"/>
        <v>5195652.16</v>
      </c>
      <c r="R25" s="68">
        <v>5195652.16</v>
      </c>
      <c r="S25" s="69">
        <f t="shared" si="3"/>
        <v>0</v>
      </c>
      <c r="T25" s="70">
        <v>2035</v>
      </c>
    </row>
    <row r="26" spans="1:20" ht="11.25">
      <c r="A26" s="58">
        <v>2036</v>
      </c>
      <c r="B26" s="43"/>
      <c r="C26" s="43"/>
      <c r="D26" s="43"/>
      <c r="E26" s="43"/>
      <c r="F26" s="44"/>
      <c r="G26" s="45"/>
      <c r="H26" s="43"/>
      <c r="I26" s="43">
        <v>0</v>
      </c>
      <c r="J26" s="46"/>
      <c r="K26" s="74">
        <v>1695652.16</v>
      </c>
      <c r="L26" s="48">
        <f t="shared" si="0"/>
        <v>1695652.16</v>
      </c>
      <c r="M26" s="65">
        <v>2000000</v>
      </c>
      <c r="N26" s="66">
        <v>1000000</v>
      </c>
      <c r="O26" s="66">
        <v>500000</v>
      </c>
      <c r="P26" s="67">
        <f t="shared" si="1"/>
        <v>3500000</v>
      </c>
      <c r="Q26" s="52">
        <f t="shared" si="2"/>
        <v>5195652.16</v>
      </c>
      <c r="R26" s="68">
        <v>5195652.16</v>
      </c>
      <c r="S26" s="69">
        <f t="shared" si="3"/>
        <v>0</v>
      </c>
      <c r="T26" s="70">
        <v>2036</v>
      </c>
    </row>
    <row r="27" spans="1:24" ht="11.25">
      <c r="A27" s="58">
        <v>2037</v>
      </c>
      <c r="B27" s="43"/>
      <c r="C27" s="43"/>
      <c r="D27" s="43"/>
      <c r="E27" s="43"/>
      <c r="F27" s="44"/>
      <c r="G27" s="45"/>
      <c r="H27" s="43"/>
      <c r="I27" s="43">
        <v>0</v>
      </c>
      <c r="J27" s="46"/>
      <c r="K27" s="47">
        <v>769565.2</v>
      </c>
      <c r="L27" s="48">
        <f t="shared" si="0"/>
        <v>769565.2</v>
      </c>
      <c r="M27" s="65">
        <v>2000000</v>
      </c>
      <c r="N27" s="66">
        <v>1000000</v>
      </c>
      <c r="O27" s="66">
        <v>500000</v>
      </c>
      <c r="P27" s="67">
        <f t="shared" si="1"/>
        <v>3500000</v>
      </c>
      <c r="Q27" s="52">
        <f t="shared" si="2"/>
        <v>4269565.2</v>
      </c>
      <c r="R27" s="68">
        <v>4269565.2</v>
      </c>
      <c r="S27" s="69">
        <f t="shared" si="3"/>
        <v>0</v>
      </c>
      <c r="T27" s="70">
        <v>2037</v>
      </c>
      <c r="X27" s="5"/>
    </row>
    <row r="28" spans="1:24" ht="11.25">
      <c r="A28" s="58">
        <v>2038</v>
      </c>
      <c r="B28" s="43"/>
      <c r="C28" s="43"/>
      <c r="D28" s="43"/>
      <c r="E28" s="43"/>
      <c r="F28" s="44"/>
      <c r="G28" s="45"/>
      <c r="H28" s="43"/>
      <c r="I28" s="43">
        <v>0</v>
      </c>
      <c r="J28" s="46"/>
      <c r="K28" s="47">
        <v>769565.2</v>
      </c>
      <c r="L28" s="48">
        <f t="shared" si="0"/>
        <v>769565.2</v>
      </c>
      <c r="M28" s="65">
        <v>2000000</v>
      </c>
      <c r="N28" s="66">
        <v>1000000</v>
      </c>
      <c r="O28" s="66">
        <v>1000000</v>
      </c>
      <c r="P28" s="67">
        <f t="shared" si="1"/>
        <v>4000000</v>
      </c>
      <c r="Q28" s="52">
        <f t="shared" si="2"/>
        <v>4769565.2</v>
      </c>
      <c r="R28" s="68">
        <v>4769565.2</v>
      </c>
      <c r="S28" s="69">
        <f t="shared" si="3"/>
        <v>0</v>
      </c>
      <c r="T28" s="70">
        <v>2038</v>
      </c>
      <c r="X28" s="5"/>
    </row>
    <row r="29" spans="1:24" ht="11.25">
      <c r="A29" s="58">
        <v>2039</v>
      </c>
      <c r="B29" s="43"/>
      <c r="C29" s="43"/>
      <c r="D29" s="43"/>
      <c r="E29" s="43"/>
      <c r="F29" s="44"/>
      <c r="G29" s="45"/>
      <c r="H29" s="43"/>
      <c r="I29" s="43">
        <v>0</v>
      </c>
      <c r="J29" s="46"/>
      <c r="K29" s="47">
        <v>769565.2</v>
      </c>
      <c r="L29" s="48">
        <f t="shared" si="0"/>
        <v>769565.2</v>
      </c>
      <c r="M29" s="65">
        <v>2000000</v>
      </c>
      <c r="N29" s="66">
        <v>1000000</v>
      </c>
      <c r="O29" s="66">
        <v>1000000</v>
      </c>
      <c r="P29" s="67">
        <f t="shared" si="1"/>
        <v>4000000</v>
      </c>
      <c r="Q29" s="52">
        <f t="shared" si="2"/>
        <v>4769565.2</v>
      </c>
      <c r="R29" s="68">
        <v>4769565.2</v>
      </c>
      <c r="S29" s="69">
        <f t="shared" si="3"/>
        <v>0</v>
      </c>
      <c r="T29" s="70">
        <v>2039</v>
      </c>
      <c r="X29" s="5"/>
    </row>
    <row r="30" spans="1:20" ht="11.25">
      <c r="A30" s="58">
        <v>2040</v>
      </c>
      <c r="B30" s="43"/>
      <c r="C30" s="43"/>
      <c r="D30" s="43"/>
      <c r="E30" s="43"/>
      <c r="F30" s="44"/>
      <c r="G30" s="45"/>
      <c r="H30" s="43"/>
      <c r="I30" s="43">
        <v>0</v>
      </c>
      <c r="J30" s="46"/>
      <c r="K30" s="47">
        <v>769565.2</v>
      </c>
      <c r="L30" s="48">
        <f t="shared" si="0"/>
        <v>769565.2</v>
      </c>
      <c r="M30" s="65">
        <v>1500000</v>
      </c>
      <c r="N30" s="66">
        <v>1000000</v>
      </c>
      <c r="O30" s="66">
        <v>1000000</v>
      </c>
      <c r="P30" s="67">
        <f t="shared" si="1"/>
        <v>3500000</v>
      </c>
      <c r="Q30" s="52">
        <f t="shared" si="2"/>
        <v>4269565.2</v>
      </c>
      <c r="R30" s="68">
        <v>4269565.2</v>
      </c>
      <c r="S30" s="69">
        <f t="shared" si="3"/>
        <v>0</v>
      </c>
      <c r="T30" s="70">
        <v>2040</v>
      </c>
    </row>
    <row r="31" spans="1:20" ht="11.25">
      <c r="A31" s="58">
        <v>2041</v>
      </c>
      <c r="B31" s="75"/>
      <c r="C31" s="75"/>
      <c r="D31" s="75"/>
      <c r="E31" s="75"/>
      <c r="F31" s="76"/>
      <c r="G31" s="77"/>
      <c r="H31" s="75"/>
      <c r="I31" s="75"/>
      <c r="J31" s="78"/>
      <c r="K31" s="79">
        <f>652173.96-7304.36</f>
        <v>644869.6</v>
      </c>
      <c r="L31" s="48">
        <f t="shared" si="0"/>
        <v>644869.6</v>
      </c>
      <c r="M31" s="80">
        <v>1276000</v>
      </c>
      <c r="N31" s="81">
        <f>1100000-306493.82-50000</f>
        <v>743506.1799999999</v>
      </c>
      <c r="O31" s="66">
        <v>1000000</v>
      </c>
      <c r="P31" s="67">
        <f t="shared" si="1"/>
        <v>3019506.1799999997</v>
      </c>
      <c r="Q31" s="82">
        <f t="shared" si="2"/>
        <v>3664375.78</v>
      </c>
      <c r="R31" s="83">
        <v>3714375.78</v>
      </c>
      <c r="S31" s="69">
        <f t="shared" si="3"/>
        <v>50000</v>
      </c>
      <c r="T31" s="70">
        <v>2041</v>
      </c>
    </row>
    <row r="32" spans="1:24" ht="11.25">
      <c r="A32" s="84" t="s">
        <v>42</v>
      </c>
      <c r="B32" s="85">
        <f>SUM(B11:B24)</f>
        <v>0</v>
      </c>
      <c r="C32" s="86">
        <f>SUM(C11:C24)</f>
        <v>900000</v>
      </c>
      <c r="D32" s="85">
        <f>SUM(D10:D24)</f>
        <v>2908759</v>
      </c>
      <c r="E32" s="87">
        <f>SUM(E11:E24)</f>
        <v>744000</v>
      </c>
      <c r="F32" s="88">
        <f>SUM(F11:F24)</f>
        <v>779591</v>
      </c>
      <c r="G32" s="89">
        <f>SUM(G10:G24)</f>
        <v>7500000</v>
      </c>
      <c r="H32" s="85">
        <f>SUM(H10:H24)</f>
        <v>10000000</v>
      </c>
      <c r="I32" s="86">
        <f>SUM(I10:I30)</f>
        <v>16625000</v>
      </c>
      <c r="J32" s="85">
        <f>SUM(J10:J30)</f>
        <v>25039000</v>
      </c>
      <c r="K32" s="85">
        <f>SUM(K10:K31)</f>
        <v>14999999.999999996</v>
      </c>
      <c r="L32" s="90">
        <f>SUM(L10:L30)</f>
        <v>80173471.4</v>
      </c>
      <c r="M32" s="85">
        <f>SUM(M10:M31)</f>
        <v>17935000</v>
      </c>
      <c r="N32" s="85">
        <f>SUM(N10:N31)</f>
        <v>16943506.18</v>
      </c>
      <c r="O32" s="85">
        <f>SUM(O10:O31)</f>
        <v>10000000</v>
      </c>
      <c r="P32" s="91">
        <f t="shared" si="1"/>
        <v>44878506.18</v>
      </c>
      <c r="Q32" s="92">
        <f t="shared" si="2"/>
        <v>125051977.58000001</v>
      </c>
      <c r="R32" s="92">
        <f>SUM(R10:R31)</f>
        <v>130568838.17999999</v>
      </c>
      <c r="S32" s="24"/>
      <c r="T32" s="93" t="s">
        <v>42</v>
      </c>
      <c r="X32" s="94"/>
    </row>
    <row r="33" spans="1:15" ht="11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23" ht="11.25">
      <c r="A34" s="2"/>
      <c r="B34" s="96"/>
      <c r="C34" s="97" t="s">
        <v>43</v>
      </c>
      <c r="D34" s="97"/>
      <c r="E34" s="97"/>
      <c r="F34" s="98"/>
      <c r="G34" s="95"/>
      <c r="H34" s="95"/>
      <c r="I34" s="95"/>
      <c r="J34" s="95"/>
      <c r="K34" s="95"/>
      <c r="L34" s="95"/>
      <c r="M34" s="95"/>
      <c r="N34" s="95"/>
      <c r="O34" s="95"/>
      <c r="Q34" s="99" t="s">
        <v>32</v>
      </c>
      <c r="R34" s="99" t="s">
        <v>44</v>
      </c>
      <c r="S34" s="100" t="s">
        <v>45</v>
      </c>
      <c r="T34" s="101" t="s">
        <v>40</v>
      </c>
      <c r="U34" s="102" t="s">
        <v>46</v>
      </c>
      <c r="V34" s="103" t="s">
        <v>47</v>
      </c>
      <c r="W34" s="104"/>
    </row>
    <row r="35" spans="1:23" ht="45">
      <c r="A35" s="105" t="s">
        <v>48</v>
      </c>
      <c r="B35" s="106" t="str">
        <f>B9</f>
        <v>Oleśnica/12</v>
      </c>
      <c r="C35" s="106" t="s">
        <v>15</v>
      </c>
      <c r="D35" s="106" t="str">
        <f>D9</f>
        <v>Oleśnica /13</v>
      </c>
      <c r="E35" s="107" t="str">
        <f>E9</f>
        <v>Żmigród- 155/14</v>
      </c>
      <c r="F35" s="107" t="str">
        <f>F9</f>
        <v>Zmigród-156/14</v>
      </c>
      <c r="G35" s="108" t="str">
        <f>G9</f>
        <v>Getin /15</v>
      </c>
      <c r="H35" s="108" t="s">
        <v>49</v>
      </c>
      <c r="I35" s="108" t="s">
        <v>50</v>
      </c>
      <c r="J35" s="108" t="s">
        <v>51</v>
      </c>
      <c r="K35" s="109" t="s">
        <v>52</v>
      </c>
      <c r="L35" s="110" t="s">
        <v>53</v>
      </c>
      <c r="M35" s="111" t="s">
        <v>25</v>
      </c>
      <c r="N35" s="112" t="s">
        <v>54</v>
      </c>
      <c r="O35" s="112" t="s">
        <v>27</v>
      </c>
      <c r="P35" s="113" t="s">
        <v>55</v>
      </c>
      <c r="Q35" s="114" t="s">
        <v>56</v>
      </c>
      <c r="R35" s="115" t="s">
        <v>57</v>
      </c>
      <c r="S35" s="116" t="s">
        <v>58</v>
      </c>
      <c r="T35" s="117" t="s">
        <v>59</v>
      </c>
      <c r="U35" s="118" t="s">
        <v>60</v>
      </c>
      <c r="V35" s="119" t="s">
        <v>61</v>
      </c>
      <c r="W35" s="120" t="s">
        <v>48</v>
      </c>
    </row>
    <row r="36" spans="1:23" ht="11.25">
      <c r="A36" s="58">
        <v>2020</v>
      </c>
      <c r="B36" s="121">
        <v>20294.43</v>
      </c>
      <c r="C36" s="121">
        <v>33341.9</v>
      </c>
      <c r="D36" s="121">
        <v>59901.31</v>
      </c>
      <c r="E36" s="121">
        <v>45280.38</v>
      </c>
      <c r="F36" s="121">
        <v>47202.35</v>
      </c>
      <c r="G36" s="121">
        <v>205875</v>
      </c>
      <c r="H36" s="121">
        <v>213630</v>
      </c>
      <c r="I36" s="121">
        <v>419052.8</v>
      </c>
      <c r="J36" s="121">
        <v>635990.6</v>
      </c>
      <c r="K36" s="122"/>
      <c r="L36" s="123">
        <f aca="true" t="shared" si="4" ref="L36:L57">SUM(B36:K36)</f>
        <v>1680568.77</v>
      </c>
      <c r="M36" s="124"/>
      <c r="N36" s="60"/>
      <c r="O36" s="60"/>
      <c r="P36" s="125">
        <f>SUM(M36:M36)</f>
        <v>0</v>
      </c>
      <c r="Q36" s="126">
        <f aca="true" t="shared" si="5" ref="Q36:Q57">L36+P36</f>
        <v>1680568.77</v>
      </c>
      <c r="R36" s="127">
        <v>1680568.77</v>
      </c>
      <c r="S36" s="128">
        <f aca="true" t="shared" si="6" ref="S36:S58">R36-Q36</f>
        <v>0</v>
      </c>
      <c r="T36" s="129">
        <v>2050000</v>
      </c>
      <c r="U36" s="130">
        <f aca="true" t="shared" si="7" ref="U36:U57">T36-Q36</f>
        <v>369431.23</v>
      </c>
      <c r="V36" s="131">
        <f>2050000</f>
        <v>2050000</v>
      </c>
      <c r="W36" s="132">
        <v>2020</v>
      </c>
    </row>
    <row r="37" spans="1:25" ht="11.25">
      <c r="A37" s="58">
        <f aca="true" t="shared" si="8" ref="A37:A43">A11</f>
        <v>2021</v>
      </c>
      <c r="B37" s="133"/>
      <c r="C37" s="133">
        <v>27720</v>
      </c>
      <c r="D37" s="60">
        <v>45085.76</v>
      </c>
      <c r="E37" s="133">
        <v>36456</v>
      </c>
      <c r="F37" s="133">
        <v>38199.96</v>
      </c>
      <c r="G37" s="133">
        <v>164250</v>
      </c>
      <c r="H37" s="133">
        <v>159000</v>
      </c>
      <c r="I37" s="133">
        <v>258637.5</v>
      </c>
      <c r="J37" s="133">
        <v>473237.1</v>
      </c>
      <c r="K37" s="122">
        <v>285682.62</v>
      </c>
      <c r="L37" s="123">
        <f t="shared" si="4"/>
        <v>1488268.94</v>
      </c>
      <c r="M37" s="124">
        <v>226076.56</v>
      </c>
      <c r="N37" s="60"/>
      <c r="O37" s="60"/>
      <c r="P37" s="125">
        <f aca="true" t="shared" si="9" ref="P37:P57">SUM(M37:O37)</f>
        <v>226076.56</v>
      </c>
      <c r="Q37" s="126">
        <f t="shared" si="5"/>
        <v>1714345.5</v>
      </c>
      <c r="R37" s="127">
        <v>1891956.32</v>
      </c>
      <c r="S37" s="128">
        <f t="shared" si="6"/>
        <v>177610.82000000007</v>
      </c>
      <c r="T37" s="134">
        <v>2050000</v>
      </c>
      <c r="U37" s="130">
        <f t="shared" si="7"/>
        <v>335654.5</v>
      </c>
      <c r="V37" s="135">
        <f>3920000-620</f>
        <v>3919380</v>
      </c>
      <c r="W37" s="132">
        <v>2021</v>
      </c>
      <c r="X37" s="94">
        <f>T37-V37</f>
        <v>-1869380</v>
      </c>
      <c r="Y37" s="94">
        <f aca="true" t="shared" si="10" ref="Y37:Y57">T37-V37</f>
        <v>-1869380</v>
      </c>
    </row>
    <row r="38" spans="1:25" ht="11.25">
      <c r="A38" s="58">
        <f t="shared" si="8"/>
        <v>2022</v>
      </c>
      <c r="B38" s="133"/>
      <c r="C38" s="133">
        <v>27720</v>
      </c>
      <c r="D38" s="60">
        <v>22548.76</v>
      </c>
      <c r="E38" s="133">
        <v>36456</v>
      </c>
      <c r="F38" s="133">
        <v>38199.96</v>
      </c>
      <c r="G38" s="133">
        <v>120450</v>
      </c>
      <c r="H38" s="133">
        <v>159000</v>
      </c>
      <c r="I38" s="133">
        <v>258637.5</v>
      </c>
      <c r="J38" s="133">
        <v>473237.1</v>
      </c>
      <c r="K38" s="122">
        <v>284632.22</v>
      </c>
      <c r="L38" s="123">
        <f t="shared" si="4"/>
        <v>1420881.5399999998</v>
      </c>
      <c r="M38" s="124">
        <v>385572.89</v>
      </c>
      <c r="N38" s="60">
        <v>510410.96</v>
      </c>
      <c r="O38" s="60"/>
      <c r="P38" s="125">
        <f t="shared" si="9"/>
        <v>895983.8500000001</v>
      </c>
      <c r="Q38" s="126">
        <f t="shared" si="5"/>
        <v>2316865.3899999997</v>
      </c>
      <c r="R38" s="127">
        <v>2385486.32</v>
      </c>
      <c r="S38" s="128">
        <f t="shared" si="6"/>
        <v>68620.93000000017</v>
      </c>
      <c r="T38" s="134">
        <v>2601206.25</v>
      </c>
      <c r="U38" s="130">
        <f t="shared" si="7"/>
        <v>284340.86000000034</v>
      </c>
      <c r="V38" s="135">
        <f>4710000-2000000-24000</f>
        <v>2686000</v>
      </c>
      <c r="W38" s="132">
        <v>2022</v>
      </c>
      <c r="X38" s="94">
        <f>T38-V38</f>
        <v>-84793.75</v>
      </c>
      <c r="Y38" s="94">
        <f t="shared" si="10"/>
        <v>-84793.75</v>
      </c>
    </row>
    <row r="39" spans="1:25" ht="11.25">
      <c r="A39" s="58">
        <f t="shared" si="8"/>
        <v>2023</v>
      </c>
      <c r="B39" s="133"/>
      <c r="C39" s="136">
        <v>27720</v>
      </c>
      <c r="D39" s="60">
        <v>22548.76</v>
      </c>
      <c r="E39" s="133">
        <v>30282</v>
      </c>
      <c r="F39" s="133">
        <v>32025.96</v>
      </c>
      <c r="G39" s="133">
        <v>98550</v>
      </c>
      <c r="H39" s="133">
        <v>159000</v>
      </c>
      <c r="I39" s="133">
        <v>258637.5</v>
      </c>
      <c r="J39" s="133">
        <v>473237.1</v>
      </c>
      <c r="K39" s="122">
        <v>284286.43</v>
      </c>
      <c r="L39" s="123">
        <f t="shared" si="4"/>
        <v>1386287.7499999998</v>
      </c>
      <c r="M39" s="124">
        <v>385551.39</v>
      </c>
      <c r="N39" s="60">
        <v>516367.81</v>
      </c>
      <c r="O39" s="60">
        <v>297735.62</v>
      </c>
      <c r="P39" s="125">
        <f t="shared" si="9"/>
        <v>1199654.8199999998</v>
      </c>
      <c r="Q39" s="126">
        <f t="shared" si="5"/>
        <v>2585942.5699999994</v>
      </c>
      <c r="R39" s="127">
        <v>2350128.32</v>
      </c>
      <c r="S39" s="128">
        <f t="shared" si="6"/>
        <v>-235814.24999999953</v>
      </c>
      <c r="T39" s="134">
        <v>2870099</v>
      </c>
      <c r="U39" s="130">
        <f t="shared" si="7"/>
        <v>284156.43000000063</v>
      </c>
      <c r="V39" s="135">
        <f>4509000-2000000-15000</f>
        <v>2494000</v>
      </c>
      <c r="W39" s="132">
        <v>2023</v>
      </c>
      <c r="X39" s="94">
        <f>T39-V39</f>
        <v>376099</v>
      </c>
      <c r="Y39" s="94">
        <f t="shared" si="10"/>
        <v>376099</v>
      </c>
    </row>
    <row r="40" spans="1:25" ht="11.25">
      <c r="A40" s="58">
        <f t="shared" si="8"/>
        <v>2024</v>
      </c>
      <c r="B40" s="133"/>
      <c r="C40" s="133"/>
      <c r="D40" s="133"/>
      <c r="E40" s="133">
        <v>24108</v>
      </c>
      <c r="F40" s="133">
        <v>25851.96</v>
      </c>
      <c r="G40" s="133">
        <v>76650</v>
      </c>
      <c r="H40" s="133">
        <v>155623.97</v>
      </c>
      <c r="I40" s="133">
        <v>219450</v>
      </c>
      <c r="J40" s="133">
        <v>473237.1</v>
      </c>
      <c r="K40" s="122">
        <v>284319.16</v>
      </c>
      <c r="L40" s="123">
        <f t="shared" si="4"/>
        <v>1259240.19</v>
      </c>
      <c r="M40" s="124">
        <v>385529.89</v>
      </c>
      <c r="N40" s="60">
        <v>512801.71</v>
      </c>
      <c r="O40" s="60">
        <v>291735.62</v>
      </c>
      <c r="P40" s="125">
        <f t="shared" si="9"/>
        <v>1190067.2200000002</v>
      </c>
      <c r="Q40" s="126">
        <f t="shared" si="5"/>
        <v>2449307.41</v>
      </c>
      <c r="R40" s="127">
        <v>2197481.03</v>
      </c>
      <c r="S40" s="128">
        <f t="shared" si="6"/>
        <v>-251826.38000000035</v>
      </c>
      <c r="T40" s="134">
        <v>2710782.27</v>
      </c>
      <c r="U40" s="130">
        <f t="shared" si="7"/>
        <v>261474.85999999987</v>
      </c>
      <c r="V40" s="135">
        <f aca="true" t="shared" si="11" ref="V40:V57">T40-S40</f>
        <v>2962608.6500000004</v>
      </c>
      <c r="W40" s="132">
        <v>2024</v>
      </c>
      <c r="X40" s="94"/>
      <c r="Y40" s="94">
        <f t="shared" si="10"/>
        <v>-251826.38000000035</v>
      </c>
    </row>
    <row r="41" spans="1:25" ht="11.25">
      <c r="A41" s="58">
        <f t="shared" si="8"/>
        <v>2025</v>
      </c>
      <c r="B41" s="133"/>
      <c r="C41" s="133"/>
      <c r="D41" s="133"/>
      <c r="E41" s="133">
        <v>17934</v>
      </c>
      <c r="F41" s="133">
        <v>19677.96</v>
      </c>
      <c r="G41" s="133"/>
      <c r="H41" s="133">
        <v>115873.97</v>
      </c>
      <c r="I41" s="133">
        <v>180262.5</v>
      </c>
      <c r="J41" s="133">
        <v>473237.1</v>
      </c>
      <c r="K41" s="122">
        <v>282301.92</v>
      </c>
      <c r="L41" s="123">
        <f t="shared" si="4"/>
        <v>1089287.45</v>
      </c>
      <c r="M41" s="124">
        <v>385500.27</v>
      </c>
      <c r="N41" s="60">
        <v>508301.71</v>
      </c>
      <c r="O41" s="60">
        <v>285735.62</v>
      </c>
      <c r="P41" s="125">
        <f t="shared" si="9"/>
        <v>1179537.6</v>
      </c>
      <c r="Q41" s="126">
        <f t="shared" si="5"/>
        <v>2268825.05</v>
      </c>
      <c r="R41" s="127">
        <v>2026485.53</v>
      </c>
      <c r="S41" s="128">
        <f t="shared" si="6"/>
        <v>-242339.5199999998</v>
      </c>
      <c r="T41" s="134">
        <v>2530694.6</v>
      </c>
      <c r="U41" s="130">
        <f t="shared" si="7"/>
        <v>261869.55000000028</v>
      </c>
      <c r="V41" s="135">
        <f t="shared" si="11"/>
        <v>2773034.12</v>
      </c>
      <c r="W41" s="132">
        <v>2025</v>
      </c>
      <c r="X41" s="94"/>
      <c r="Y41" s="94">
        <f t="shared" si="10"/>
        <v>-242339.52000000002</v>
      </c>
    </row>
    <row r="42" spans="1:25" ht="11.25">
      <c r="A42" s="58">
        <f t="shared" si="8"/>
        <v>2026</v>
      </c>
      <c r="B42" s="133"/>
      <c r="C42" s="133"/>
      <c r="D42" s="133"/>
      <c r="E42" s="133">
        <v>11760</v>
      </c>
      <c r="F42" s="133">
        <v>13503.96</v>
      </c>
      <c r="G42" s="133"/>
      <c r="H42" s="133">
        <v>76123.97</v>
      </c>
      <c r="I42" s="133">
        <v>141075</v>
      </c>
      <c r="J42" s="133">
        <v>473237.1</v>
      </c>
      <c r="K42" s="122">
        <v>281062.79</v>
      </c>
      <c r="L42" s="123">
        <f t="shared" si="4"/>
        <v>996762.8200000001</v>
      </c>
      <c r="M42" s="124">
        <v>385441.04</v>
      </c>
      <c r="N42" s="60">
        <v>503235.62</v>
      </c>
      <c r="O42" s="60">
        <v>279735.62</v>
      </c>
      <c r="P42" s="125">
        <f t="shared" si="9"/>
        <v>1168412.2799999998</v>
      </c>
      <c r="Q42" s="126">
        <f t="shared" si="5"/>
        <v>2165175.0999999996</v>
      </c>
      <c r="R42" s="127">
        <v>1932080.03</v>
      </c>
      <c r="S42" s="128">
        <f t="shared" si="6"/>
        <v>-233095.0699999996</v>
      </c>
      <c r="T42" s="134">
        <v>2427333.78</v>
      </c>
      <c r="U42" s="130">
        <f t="shared" si="7"/>
        <v>262158.68000000017</v>
      </c>
      <c r="V42" s="135">
        <f t="shared" si="11"/>
        <v>2660428.8499999996</v>
      </c>
      <c r="W42" s="132">
        <v>2026</v>
      </c>
      <c r="X42" s="94"/>
      <c r="Y42" s="94">
        <f t="shared" si="10"/>
        <v>-233095.06999999983</v>
      </c>
    </row>
    <row r="43" spans="1:25" ht="11.25">
      <c r="A43" s="58">
        <f t="shared" si="8"/>
        <v>2027</v>
      </c>
      <c r="B43" s="133"/>
      <c r="C43" s="133"/>
      <c r="D43" s="133"/>
      <c r="E43" s="133">
        <v>5586</v>
      </c>
      <c r="F43" s="133">
        <v>7329.96</v>
      </c>
      <c r="G43" s="133"/>
      <c r="H43" s="133">
        <v>36373.97</v>
      </c>
      <c r="I43" s="133">
        <v>99275</v>
      </c>
      <c r="J43" s="133">
        <v>473237.1</v>
      </c>
      <c r="K43" s="122">
        <v>278186.9</v>
      </c>
      <c r="L43" s="123">
        <f t="shared" si="4"/>
        <v>899988.93</v>
      </c>
      <c r="M43" s="124">
        <v>385346.93</v>
      </c>
      <c r="N43" s="60">
        <v>497235.62</v>
      </c>
      <c r="O43" s="60">
        <v>273735.62</v>
      </c>
      <c r="P43" s="125">
        <f t="shared" si="9"/>
        <v>1156318.17</v>
      </c>
      <c r="Q43" s="126">
        <f t="shared" si="5"/>
        <v>2056307.1</v>
      </c>
      <c r="R43" s="127">
        <v>1824532.03</v>
      </c>
      <c r="S43" s="128">
        <f t="shared" si="6"/>
        <v>-231775.07000000007</v>
      </c>
      <c r="T43" s="134">
        <v>2318240.51</v>
      </c>
      <c r="U43" s="130">
        <f t="shared" si="7"/>
        <v>261933.40999999968</v>
      </c>
      <c r="V43" s="135">
        <f t="shared" si="11"/>
        <v>2550015.58</v>
      </c>
      <c r="W43" s="132">
        <v>2027</v>
      </c>
      <c r="X43" s="94"/>
      <c r="Y43" s="94">
        <f t="shared" si="10"/>
        <v>-231775.0700000003</v>
      </c>
    </row>
    <row r="44" spans="1:25" ht="11.25">
      <c r="A44" s="58">
        <v>2028</v>
      </c>
      <c r="B44" s="133"/>
      <c r="C44" s="133"/>
      <c r="D44" s="133"/>
      <c r="E44" s="133"/>
      <c r="F44" s="133"/>
      <c r="G44" s="133"/>
      <c r="H44" s="133"/>
      <c r="I44" s="133">
        <v>57475</v>
      </c>
      <c r="J44" s="133">
        <v>437799.6</v>
      </c>
      <c r="K44" s="122">
        <v>273363.46</v>
      </c>
      <c r="L44" s="123">
        <f t="shared" si="4"/>
        <v>768638.06</v>
      </c>
      <c r="M44" s="124">
        <v>385166.4</v>
      </c>
      <c r="N44" s="60">
        <v>489537.33</v>
      </c>
      <c r="O44" s="60">
        <v>264339.04</v>
      </c>
      <c r="P44" s="125">
        <f t="shared" si="9"/>
        <v>1139042.77</v>
      </c>
      <c r="Q44" s="126">
        <f t="shared" si="5"/>
        <v>1907680.83</v>
      </c>
      <c r="R44" s="127">
        <v>1684084.6</v>
      </c>
      <c r="S44" s="128">
        <f t="shared" si="6"/>
        <v>-223596.22999999998</v>
      </c>
      <c r="T44" s="134">
        <v>2168434.2</v>
      </c>
      <c r="U44" s="130">
        <f t="shared" si="7"/>
        <v>260753.3700000001</v>
      </c>
      <c r="V44" s="135">
        <f t="shared" si="11"/>
        <v>2392030.43</v>
      </c>
      <c r="W44" s="132">
        <v>2028</v>
      </c>
      <c r="X44" s="94"/>
      <c r="Y44" s="94">
        <f t="shared" si="10"/>
        <v>-223596.22999999998</v>
      </c>
    </row>
    <row r="45" spans="1:25" ht="11.25">
      <c r="A45" s="58">
        <v>2029</v>
      </c>
      <c r="B45" s="133"/>
      <c r="C45" s="133"/>
      <c r="D45" s="133"/>
      <c r="E45" s="133"/>
      <c r="F45" s="133"/>
      <c r="G45" s="133"/>
      <c r="H45" s="133"/>
      <c r="I45" s="133">
        <v>57475</v>
      </c>
      <c r="J45" s="133">
        <v>341409.6</v>
      </c>
      <c r="K45" s="122">
        <v>264462.68</v>
      </c>
      <c r="L45" s="123">
        <f t="shared" si="4"/>
        <v>663347.28</v>
      </c>
      <c r="M45" s="124">
        <v>384816.72</v>
      </c>
      <c r="N45" s="60">
        <v>471678.08</v>
      </c>
      <c r="O45" s="60">
        <v>249339.04</v>
      </c>
      <c r="P45" s="125">
        <f t="shared" si="9"/>
        <v>1105833.84</v>
      </c>
      <c r="Q45" s="126">
        <f t="shared" si="5"/>
        <v>1769181.12</v>
      </c>
      <c r="R45" s="127">
        <v>1557094.6</v>
      </c>
      <c r="S45" s="128">
        <f t="shared" si="6"/>
        <v>-212086.52000000002</v>
      </c>
      <c r="T45" s="134">
        <v>2030463.17</v>
      </c>
      <c r="U45" s="130">
        <f t="shared" si="7"/>
        <v>261282.0499999998</v>
      </c>
      <c r="V45" s="135">
        <f t="shared" si="11"/>
        <v>2242549.69</v>
      </c>
      <c r="W45" s="132">
        <v>2029</v>
      </c>
      <c r="X45" s="94"/>
      <c r="Y45" s="94">
        <f t="shared" si="10"/>
        <v>-212086.52000000002</v>
      </c>
    </row>
    <row r="46" spans="1:25" ht="11.25">
      <c r="A46" s="58">
        <v>2030</v>
      </c>
      <c r="B46" s="133"/>
      <c r="C46" s="133"/>
      <c r="D46" s="133"/>
      <c r="E46" s="133"/>
      <c r="F46" s="133"/>
      <c r="G46" s="133"/>
      <c r="H46" s="133"/>
      <c r="I46" s="133">
        <v>28737.5</v>
      </c>
      <c r="J46" s="133">
        <v>245019.6</v>
      </c>
      <c r="K46" s="122">
        <v>252071.38</v>
      </c>
      <c r="L46" s="123">
        <f t="shared" si="4"/>
        <v>525828.48</v>
      </c>
      <c r="M46" s="124">
        <v>384386.72</v>
      </c>
      <c r="N46" s="60">
        <v>441678.08</v>
      </c>
      <c r="O46" s="60">
        <v>234339.04</v>
      </c>
      <c r="P46" s="125">
        <f t="shared" si="9"/>
        <v>1060403.84</v>
      </c>
      <c r="Q46" s="126">
        <f t="shared" si="5"/>
        <v>1586232.32</v>
      </c>
      <c r="R46" s="127">
        <v>1401367.1</v>
      </c>
      <c r="S46" s="128">
        <f t="shared" si="6"/>
        <v>-184865.21999999997</v>
      </c>
      <c r="T46" s="134">
        <v>1850405.67</v>
      </c>
      <c r="U46" s="130">
        <f t="shared" si="7"/>
        <v>264173.34999999986</v>
      </c>
      <c r="V46" s="135">
        <f t="shared" si="11"/>
        <v>2035270.89</v>
      </c>
      <c r="W46" s="132">
        <v>2030</v>
      </c>
      <c r="X46" s="94"/>
      <c r="Y46" s="94">
        <f t="shared" si="10"/>
        <v>-184865.21999999997</v>
      </c>
    </row>
    <row r="47" spans="1:25" ht="11.25">
      <c r="A47" s="58">
        <v>2031</v>
      </c>
      <c r="B47" s="133"/>
      <c r="C47" s="133"/>
      <c r="D47" s="133"/>
      <c r="E47" s="133"/>
      <c r="F47" s="133"/>
      <c r="G47" s="133"/>
      <c r="H47" s="133"/>
      <c r="I47" s="133"/>
      <c r="J47" s="133">
        <v>144414.9</v>
      </c>
      <c r="K47" s="122">
        <v>239680.08</v>
      </c>
      <c r="L47" s="123">
        <f t="shared" si="4"/>
        <v>384094.98</v>
      </c>
      <c r="M47" s="124">
        <v>383388.74</v>
      </c>
      <c r="N47" s="60">
        <v>411678.08</v>
      </c>
      <c r="O47" s="60">
        <v>219339.04</v>
      </c>
      <c r="P47" s="125">
        <f t="shared" si="9"/>
        <v>1014405.8600000001</v>
      </c>
      <c r="Q47" s="126">
        <f t="shared" si="5"/>
        <v>1398500.84</v>
      </c>
      <c r="R47" s="127">
        <v>1239324.9</v>
      </c>
      <c r="S47" s="128">
        <f t="shared" si="6"/>
        <v>-159175.94000000018</v>
      </c>
      <c r="T47" s="134">
        <v>1665565.49</v>
      </c>
      <c r="U47" s="130">
        <f t="shared" si="7"/>
        <v>267064.6499999999</v>
      </c>
      <c r="V47" s="135">
        <f t="shared" si="11"/>
        <v>1824741.4300000002</v>
      </c>
      <c r="W47" s="132">
        <v>2031</v>
      </c>
      <c r="X47" s="94"/>
      <c r="Y47" s="94">
        <f t="shared" si="10"/>
        <v>-159175.94000000018</v>
      </c>
    </row>
    <row r="48" spans="1:25" ht="11.25">
      <c r="A48" s="58">
        <v>2032</v>
      </c>
      <c r="B48" s="133"/>
      <c r="C48" s="133"/>
      <c r="D48" s="133"/>
      <c r="E48" s="133"/>
      <c r="F48" s="133"/>
      <c r="G48" s="133"/>
      <c r="H48" s="133"/>
      <c r="I48" s="133"/>
      <c r="J48" s="133">
        <v>36684.9</v>
      </c>
      <c r="K48" s="122">
        <v>220441.98</v>
      </c>
      <c r="L48" s="123">
        <f t="shared" si="4"/>
        <v>257126.88</v>
      </c>
      <c r="M48" s="124">
        <v>374069.96</v>
      </c>
      <c r="N48" s="60">
        <v>370356.16</v>
      </c>
      <c r="O48" s="60">
        <v>204339.04</v>
      </c>
      <c r="P48" s="125">
        <f t="shared" si="9"/>
        <v>948765.16</v>
      </c>
      <c r="Q48" s="126">
        <f t="shared" si="5"/>
        <v>1205892.04</v>
      </c>
      <c r="R48" s="127">
        <v>1023594.9</v>
      </c>
      <c r="S48" s="128">
        <f t="shared" si="6"/>
        <v>-182297.14</v>
      </c>
      <c r="T48" s="134">
        <v>1478942.68</v>
      </c>
      <c r="U48" s="130">
        <f t="shared" si="7"/>
        <v>273050.6399999999</v>
      </c>
      <c r="V48" s="135">
        <f t="shared" si="11"/>
        <v>1661239.8199999998</v>
      </c>
      <c r="W48" s="132">
        <v>2032</v>
      </c>
      <c r="X48" s="94"/>
      <c r="Y48" s="94">
        <f t="shared" si="10"/>
        <v>-182297.1399999999</v>
      </c>
    </row>
    <row r="49" spans="1:25" ht="11.25">
      <c r="A49" s="58">
        <v>2033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22">
        <v>187589.07</v>
      </c>
      <c r="L49" s="123">
        <f t="shared" si="4"/>
        <v>187589.07</v>
      </c>
      <c r="M49" s="124">
        <v>344455.92</v>
      </c>
      <c r="N49" s="60">
        <v>310356.16</v>
      </c>
      <c r="O49" s="60">
        <v>189339.04</v>
      </c>
      <c r="P49" s="125">
        <f t="shared" si="9"/>
        <v>844151.12</v>
      </c>
      <c r="Q49" s="126">
        <f t="shared" si="5"/>
        <v>1031740.19</v>
      </c>
      <c r="R49" s="127">
        <v>848910</v>
      </c>
      <c r="S49" s="128">
        <f t="shared" si="6"/>
        <v>-182830.18999999994</v>
      </c>
      <c r="T49" s="134">
        <v>1316193.52</v>
      </c>
      <c r="U49" s="130">
        <f t="shared" si="7"/>
        <v>284453.3300000001</v>
      </c>
      <c r="V49" s="135">
        <f t="shared" si="11"/>
        <v>1499023.71</v>
      </c>
      <c r="W49" s="132">
        <v>2033</v>
      </c>
      <c r="X49" s="94"/>
      <c r="Y49" s="94">
        <f t="shared" si="10"/>
        <v>-182830.18999999994</v>
      </c>
    </row>
    <row r="50" spans="1:25" ht="11.25">
      <c r="A50" s="58">
        <v>2034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22">
        <v>155371.68</v>
      </c>
      <c r="L50" s="123">
        <f t="shared" si="4"/>
        <v>155371.68</v>
      </c>
      <c r="M50" s="124">
        <v>301455.92</v>
      </c>
      <c r="N50" s="60">
        <v>250356.16</v>
      </c>
      <c r="O50" s="60">
        <v>174339.04</v>
      </c>
      <c r="P50" s="125">
        <f t="shared" si="9"/>
        <v>726151.12</v>
      </c>
      <c r="Q50" s="126">
        <f t="shared" si="5"/>
        <v>881522.8</v>
      </c>
      <c r="R50" s="127">
        <v>710910</v>
      </c>
      <c r="S50" s="128">
        <f t="shared" si="6"/>
        <v>-170612.80000000005</v>
      </c>
      <c r="T50" s="134">
        <v>1177293.52</v>
      </c>
      <c r="U50" s="130">
        <f t="shared" si="7"/>
        <v>295770.72</v>
      </c>
      <c r="V50" s="135">
        <f t="shared" si="11"/>
        <v>1347906.32</v>
      </c>
      <c r="W50" s="132">
        <v>2034</v>
      </c>
      <c r="X50" s="94"/>
      <c r="Y50" s="94">
        <f t="shared" si="10"/>
        <v>-170612.80000000005</v>
      </c>
    </row>
    <row r="51" spans="1:25" ht="11.25">
      <c r="A51" s="58">
        <v>2035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22">
        <v>123154.29</v>
      </c>
      <c r="L51" s="123">
        <f t="shared" si="4"/>
        <v>123154.29</v>
      </c>
      <c r="M51" s="124">
        <v>258455.92</v>
      </c>
      <c r="N51" s="60">
        <v>201678.08</v>
      </c>
      <c r="O51" s="60">
        <v>159339.04</v>
      </c>
      <c r="P51" s="125">
        <f t="shared" si="9"/>
        <v>619473.04</v>
      </c>
      <c r="Q51" s="126">
        <f t="shared" si="5"/>
        <v>742627.3300000001</v>
      </c>
      <c r="R51" s="127">
        <v>572910</v>
      </c>
      <c r="S51" s="128">
        <f t="shared" si="6"/>
        <v>-169717.33000000007</v>
      </c>
      <c r="T51" s="134">
        <v>1042544.89</v>
      </c>
      <c r="U51" s="130">
        <f t="shared" si="7"/>
        <v>299917.55999999994</v>
      </c>
      <c r="V51" s="135">
        <f t="shared" si="11"/>
        <v>1212262.2200000002</v>
      </c>
      <c r="W51" s="132">
        <v>2035</v>
      </c>
      <c r="X51" s="94"/>
      <c r="Y51" s="94">
        <f t="shared" si="10"/>
        <v>-169717.3300000002</v>
      </c>
    </row>
    <row r="52" spans="1:25" ht="11.25">
      <c r="A52" s="58">
        <v>2036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22">
        <v>91219.35</v>
      </c>
      <c r="L52" s="123">
        <f t="shared" si="4"/>
        <v>91219.35</v>
      </c>
      <c r="M52" s="124">
        <v>215455.92</v>
      </c>
      <c r="N52" s="60">
        <v>171678.08</v>
      </c>
      <c r="O52" s="60">
        <v>144339.04</v>
      </c>
      <c r="P52" s="125">
        <f t="shared" si="9"/>
        <v>531473.04</v>
      </c>
      <c r="Q52" s="126">
        <f t="shared" si="5"/>
        <v>622692.39</v>
      </c>
      <c r="R52" s="127">
        <v>434910</v>
      </c>
      <c r="S52" s="128">
        <f t="shared" si="6"/>
        <v>-187782.39</v>
      </c>
      <c r="T52" s="134">
        <v>914914.01</v>
      </c>
      <c r="U52" s="130">
        <f t="shared" si="7"/>
        <v>292221.62</v>
      </c>
      <c r="V52" s="135">
        <f t="shared" si="11"/>
        <v>1102696.4</v>
      </c>
      <c r="W52" s="132">
        <v>2036</v>
      </c>
      <c r="X52" s="94"/>
      <c r="Y52" s="94">
        <f t="shared" si="10"/>
        <v>-187782.3899999999</v>
      </c>
    </row>
    <row r="53" spans="1:25" ht="11.25">
      <c r="A53" s="58">
        <v>2037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22">
        <v>65360.06</v>
      </c>
      <c r="L53" s="123">
        <f t="shared" si="4"/>
        <v>65360.06</v>
      </c>
      <c r="M53" s="124">
        <v>172455.92</v>
      </c>
      <c r="N53" s="60">
        <v>141678.08</v>
      </c>
      <c r="O53" s="60">
        <v>129339.04</v>
      </c>
      <c r="P53" s="125">
        <f t="shared" si="9"/>
        <v>443473.04</v>
      </c>
      <c r="Q53" s="126">
        <f t="shared" si="5"/>
        <v>508833.1</v>
      </c>
      <c r="R53" s="127">
        <v>339510</v>
      </c>
      <c r="S53" s="128">
        <f t="shared" si="6"/>
        <v>-169323.09999999998</v>
      </c>
      <c r="T53" s="134">
        <v>796927.07</v>
      </c>
      <c r="U53" s="130">
        <f t="shared" si="7"/>
        <v>288093.97</v>
      </c>
      <c r="V53" s="135">
        <f t="shared" si="11"/>
        <v>966250.1699999999</v>
      </c>
      <c r="W53" s="132">
        <v>2037</v>
      </c>
      <c r="X53" s="94"/>
      <c r="Y53" s="94">
        <f t="shared" si="10"/>
        <v>-169323.09999999998</v>
      </c>
    </row>
    <row r="54" spans="1:25" ht="11.25">
      <c r="A54" s="58">
        <v>2038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22">
        <v>50738.32</v>
      </c>
      <c r="L54" s="123">
        <f t="shared" si="4"/>
        <v>50738.32</v>
      </c>
      <c r="M54" s="124">
        <v>129455.92</v>
      </c>
      <c r="N54" s="60">
        <v>111678.08</v>
      </c>
      <c r="O54" s="60">
        <v>108678.08</v>
      </c>
      <c r="P54" s="125">
        <f t="shared" si="9"/>
        <v>349812.08</v>
      </c>
      <c r="Q54" s="126">
        <f t="shared" si="5"/>
        <v>400550.4</v>
      </c>
      <c r="R54" s="127">
        <v>244110</v>
      </c>
      <c r="S54" s="128">
        <f t="shared" si="6"/>
        <v>-156440.40000000002</v>
      </c>
      <c r="T54" s="134">
        <v>690346.11</v>
      </c>
      <c r="U54" s="130">
        <f t="shared" si="7"/>
        <v>289795.70999999996</v>
      </c>
      <c r="V54" s="135">
        <f t="shared" si="11"/>
        <v>846786.51</v>
      </c>
      <c r="W54" s="132">
        <v>2038</v>
      </c>
      <c r="X54" s="94"/>
      <c r="Y54" s="94">
        <f t="shared" si="10"/>
        <v>-156440.40000000002</v>
      </c>
    </row>
    <row r="55" spans="1:25" ht="11.25">
      <c r="A55" s="58">
        <v>2039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22">
        <v>36116.58</v>
      </c>
      <c r="L55" s="123">
        <f t="shared" si="4"/>
        <v>36116.58</v>
      </c>
      <c r="M55" s="124">
        <v>86455.92</v>
      </c>
      <c r="N55" s="60">
        <v>81678.08</v>
      </c>
      <c r="O55" s="60">
        <v>78678.08</v>
      </c>
      <c r="P55" s="125">
        <f t="shared" si="9"/>
        <v>246812.08000000002</v>
      </c>
      <c r="Q55" s="126">
        <f t="shared" si="5"/>
        <v>282928.66000000003</v>
      </c>
      <c r="R55" s="127">
        <v>148710</v>
      </c>
      <c r="S55" s="128">
        <f t="shared" si="6"/>
        <v>-134218.66000000003</v>
      </c>
      <c r="T55" s="134">
        <v>574426.11</v>
      </c>
      <c r="U55" s="130">
        <f t="shared" si="7"/>
        <v>291497.44999999995</v>
      </c>
      <c r="V55" s="135">
        <f t="shared" si="11"/>
        <v>708644.77</v>
      </c>
      <c r="W55" s="132">
        <v>2039</v>
      </c>
      <c r="X55" s="94"/>
      <c r="Y55" s="94">
        <f t="shared" si="10"/>
        <v>-134218.66000000003</v>
      </c>
    </row>
    <row r="56" spans="1:25" ht="11.25">
      <c r="A56" s="58">
        <v>2040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22">
        <v>21568.85</v>
      </c>
      <c r="L56" s="123">
        <f t="shared" si="4"/>
        <v>21568.85</v>
      </c>
      <c r="M56" s="124">
        <v>47512.94</v>
      </c>
      <c r="N56" s="60">
        <v>51678.08</v>
      </c>
      <c r="O56" s="60">
        <v>48678.08</v>
      </c>
      <c r="P56" s="125">
        <f t="shared" si="9"/>
        <v>147869.1</v>
      </c>
      <c r="Q56" s="126">
        <f t="shared" si="5"/>
        <v>169437.95</v>
      </c>
      <c r="R56" s="127">
        <v>68310</v>
      </c>
      <c r="S56" s="128">
        <f t="shared" si="6"/>
        <v>-101127.95000000001</v>
      </c>
      <c r="T56" s="134">
        <v>462616.74</v>
      </c>
      <c r="U56" s="130">
        <f t="shared" si="7"/>
        <v>293178.79</v>
      </c>
      <c r="V56" s="135">
        <f t="shared" si="11"/>
        <v>563744.69</v>
      </c>
      <c r="W56" s="132">
        <v>2040</v>
      </c>
      <c r="X56" s="94"/>
      <c r="Y56" s="94">
        <f t="shared" si="10"/>
        <v>-101127.94999999995</v>
      </c>
    </row>
    <row r="57" spans="1:25" ht="11.25">
      <c r="A57" s="58"/>
      <c r="B57" s="133"/>
      <c r="C57" s="133"/>
      <c r="D57" s="133"/>
      <c r="E57" s="133"/>
      <c r="F57" s="133"/>
      <c r="G57" s="133"/>
      <c r="H57" s="133"/>
      <c r="I57" s="133"/>
      <c r="J57" s="133"/>
      <c r="K57" s="122">
        <v>7714.86</v>
      </c>
      <c r="L57" s="123">
        <f t="shared" si="4"/>
        <v>7714.86</v>
      </c>
      <c r="M57" s="124">
        <v>17080.48</v>
      </c>
      <c r="N57" s="137">
        <v>20545.89</v>
      </c>
      <c r="O57" s="60">
        <v>18678.08</v>
      </c>
      <c r="P57" s="125">
        <f t="shared" si="9"/>
        <v>56304.45</v>
      </c>
      <c r="Q57" s="126">
        <f t="shared" si="5"/>
        <v>64019.31</v>
      </c>
      <c r="R57" s="138">
        <v>56400</v>
      </c>
      <c r="S57" s="139">
        <f t="shared" si="6"/>
        <v>-7619.309999999998</v>
      </c>
      <c r="T57" s="140">
        <v>360444.76</v>
      </c>
      <c r="U57" s="141">
        <f t="shared" si="7"/>
        <v>296425.45</v>
      </c>
      <c r="V57" s="142">
        <f t="shared" si="11"/>
        <v>368064.07</v>
      </c>
      <c r="W57" s="143">
        <v>2041</v>
      </c>
      <c r="X57" s="94"/>
      <c r="Y57" s="94">
        <f t="shared" si="10"/>
        <v>-7619.309999999998</v>
      </c>
    </row>
    <row r="58" spans="1:25" ht="11.25">
      <c r="A58" s="144" t="str">
        <f>A32</f>
        <v>Suma</v>
      </c>
      <c r="B58" s="125">
        <f aca="true" t="shared" si="12" ref="B58:H58">SUM(B36:B50)</f>
        <v>20294.43</v>
      </c>
      <c r="C58" s="125">
        <f t="shared" si="12"/>
        <v>116501.9</v>
      </c>
      <c r="D58" s="125">
        <f t="shared" si="12"/>
        <v>150084.59</v>
      </c>
      <c r="E58" s="125">
        <f t="shared" si="12"/>
        <v>207862.38</v>
      </c>
      <c r="F58" s="125">
        <f t="shared" si="12"/>
        <v>221992.06999999995</v>
      </c>
      <c r="G58" s="125">
        <f t="shared" si="12"/>
        <v>665775</v>
      </c>
      <c r="H58" s="125">
        <f t="shared" si="12"/>
        <v>1074625.88</v>
      </c>
      <c r="I58" s="125">
        <f>SUM(I36:I56)</f>
        <v>1978715.3</v>
      </c>
      <c r="J58" s="125">
        <f>SUM(J36:J55)</f>
        <v>5153978.9</v>
      </c>
      <c r="K58" s="125">
        <f aca="true" t="shared" si="13" ref="K58:R58">SUM(K36:K57)</f>
        <v>3969324.68</v>
      </c>
      <c r="L58" s="145">
        <f t="shared" si="13"/>
        <v>13559155.129999999</v>
      </c>
      <c r="M58" s="67">
        <f t="shared" si="13"/>
        <v>6023632.37</v>
      </c>
      <c r="N58" s="88">
        <f t="shared" si="13"/>
        <v>6574607.850000001</v>
      </c>
      <c r="O58" s="146">
        <f t="shared" si="13"/>
        <v>3651780.8200000008</v>
      </c>
      <c r="P58" s="147">
        <f t="shared" si="13"/>
        <v>16250021.039999994</v>
      </c>
      <c r="Q58" s="126">
        <f t="shared" si="13"/>
        <v>29809176.169999998</v>
      </c>
      <c r="R58" s="148">
        <f t="shared" si="13"/>
        <v>26618864.45</v>
      </c>
      <c r="S58" s="149">
        <f t="shared" si="6"/>
        <v>-3190311.719999999</v>
      </c>
      <c r="T58" s="150">
        <f>SUM(T36:T57)</f>
        <v>36087874.349999994</v>
      </c>
      <c r="U58" s="151">
        <f>SUM(U36:U57)</f>
        <v>6278698.180000001</v>
      </c>
      <c r="V58" s="152">
        <f>SUM(V36:V57)</f>
        <v>40866678.31999999</v>
      </c>
      <c r="W58" s="153">
        <f>U32</f>
        <v>0</v>
      </c>
      <c r="Y58" s="94">
        <f>SUM(Y37:Y57)</f>
        <v>-4778803.970000001</v>
      </c>
    </row>
    <row r="59" spans="1:23" ht="11.25">
      <c r="A59" s="11"/>
      <c r="B59" s="133"/>
      <c r="C59" s="133"/>
      <c r="D59" s="133"/>
      <c r="E59" s="133"/>
      <c r="F59" s="133"/>
      <c r="G59" s="133"/>
      <c r="H59" s="154"/>
      <c r="I59" s="154"/>
      <c r="J59" s="154"/>
      <c r="K59" s="154"/>
      <c r="L59" s="154"/>
      <c r="M59" s="133"/>
      <c r="N59" s="155"/>
      <c r="O59" s="155"/>
      <c r="P59" s="133"/>
      <c r="Q59" s="133"/>
      <c r="R59" s="155"/>
      <c r="S59" s="155"/>
      <c r="T59" s="155"/>
      <c r="U59" s="155"/>
      <c r="V59" s="155"/>
      <c r="W59" s="156"/>
    </row>
    <row r="61" ht="11.25">
      <c r="V61" s="157"/>
    </row>
    <row r="62" spans="9:16" ht="11.25">
      <c r="I62" s="19" t="s">
        <v>62</v>
      </c>
      <c r="J62" s="158">
        <v>4.2693</v>
      </c>
      <c r="K62" s="159"/>
      <c r="M62" s="160">
        <f>M58/J62</f>
        <v>1410918.0357435644</v>
      </c>
      <c r="N62" s="161"/>
      <c r="O62" s="161"/>
      <c r="P62" s="162">
        <f>P58/J62</f>
        <v>3806249.5116295395</v>
      </c>
    </row>
    <row r="63" spans="22:23" ht="11.25">
      <c r="V63" s="163"/>
      <c r="W63" s="1" t="s">
        <v>63</v>
      </c>
    </row>
    <row r="71" ht="11.25">
      <c r="M71" s="17" t="s">
        <v>64</v>
      </c>
    </row>
    <row r="72" spans="8:13" ht="11.25">
      <c r="H72" s="845" t="s">
        <v>65</v>
      </c>
      <c r="I72" s="845"/>
      <c r="J72" s="845"/>
      <c r="K72" s="845"/>
      <c r="L72" s="845"/>
      <c r="M72" s="845"/>
    </row>
    <row r="73" spans="8:13" ht="11.25">
      <c r="H73" s="164"/>
      <c r="I73" s="165">
        <v>1</v>
      </c>
      <c r="J73" s="165">
        <v>2</v>
      </c>
      <c r="K73" s="165">
        <v>3</v>
      </c>
      <c r="L73" s="165">
        <v>4</v>
      </c>
      <c r="M73" s="166">
        <v>5</v>
      </c>
    </row>
    <row r="74" spans="8:13" ht="33.75">
      <c r="H74" s="167" t="s">
        <v>13</v>
      </c>
      <c r="I74" s="112" t="s">
        <v>66</v>
      </c>
      <c r="J74" s="112" t="s">
        <v>67</v>
      </c>
      <c r="K74" s="168" t="s">
        <v>68</v>
      </c>
      <c r="L74" s="168" t="s">
        <v>69</v>
      </c>
      <c r="M74" s="169" t="s">
        <v>70</v>
      </c>
    </row>
    <row r="75" spans="8:13" ht="11.25">
      <c r="H75" s="170">
        <v>2021</v>
      </c>
      <c r="I75" s="171">
        <f aca="true" t="shared" si="14" ref="I75:I95">SUM(B11:J11)</f>
        <v>5081000</v>
      </c>
      <c r="J75" s="172">
        <f aca="true" t="shared" si="15" ref="J75:J95">SUM(K11)</f>
        <v>21000</v>
      </c>
      <c r="K75" s="172">
        <f aca="true" t="shared" si="16" ref="K75:K95">SUM(M11+N11)</f>
        <v>1000</v>
      </c>
      <c r="L75" s="173">
        <f aca="true" t="shared" si="17" ref="L75:L95">O11</f>
        <v>0</v>
      </c>
      <c r="M75" s="174">
        <f aca="true" t="shared" si="18" ref="M75:M95">SUM(I75:L75)</f>
        <v>5103000</v>
      </c>
    </row>
    <row r="76" spans="8:13" ht="11.25">
      <c r="H76" s="170">
        <v>2022</v>
      </c>
      <c r="I76" s="171">
        <f t="shared" si="14"/>
        <v>2000000</v>
      </c>
      <c r="J76" s="172">
        <f t="shared" si="15"/>
        <v>15000</v>
      </c>
      <c r="K76" s="172">
        <f t="shared" si="16"/>
        <v>51000</v>
      </c>
      <c r="L76" s="173">
        <f t="shared" si="17"/>
        <v>0</v>
      </c>
      <c r="M76" s="174">
        <f t="shared" si="18"/>
        <v>2066000</v>
      </c>
    </row>
    <row r="77" spans="8:13" ht="11.25">
      <c r="H77" s="170">
        <v>2023</v>
      </c>
      <c r="I77" s="171">
        <f t="shared" si="14"/>
        <v>4606759</v>
      </c>
      <c r="J77" s="172">
        <f t="shared" si="15"/>
        <v>23478.28</v>
      </c>
      <c r="K77" s="172">
        <f t="shared" si="16"/>
        <v>101000</v>
      </c>
      <c r="L77" s="173">
        <f t="shared" si="17"/>
        <v>200000</v>
      </c>
      <c r="M77" s="174">
        <f t="shared" si="18"/>
        <v>4931237.28</v>
      </c>
    </row>
    <row r="78" spans="8:13" ht="11.25">
      <c r="H78" s="170">
        <v>2024</v>
      </c>
      <c r="I78" s="171">
        <f t="shared" si="14"/>
        <v>6127000</v>
      </c>
      <c r="J78" s="172">
        <f t="shared" si="15"/>
        <v>65217.4</v>
      </c>
      <c r="K78" s="172">
        <f t="shared" si="16"/>
        <v>151000</v>
      </c>
      <c r="L78" s="173">
        <f t="shared" si="17"/>
        <v>200000</v>
      </c>
      <c r="M78" s="174">
        <f t="shared" si="18"/>
        <v>6543217.4</v>
      </c>
    </row>
    <row r="79" spans="8:13" ht="11.25">
      <c r="H79" s="170">
        <v>2025</v>
      </c>
      <c r="I79" s="171">
        <f t="shared" si="14"/>
        <v>4627000</v>
      </c>
      <c r="J79" s="172">
        <f t="shared" si="15"/>
        <v>65217.4</v>
      </c>
      <c r="K79" s="172">
        <f t="shared" si="16"/>
        <v>152000</v>
      </c>
      <c r="L79" s="173">
        <f t="shared" si="17"/>
        <v>200000</v>
      </c>
      <c r="M79" s="174">
        <f t="shared" si="18"/>
        <v>5044217.4</v>
      </c>
    </row>
    <row r="80" spans="8:13" ht="11.25">
      <c r="H80" s="170">
        <v>2026</v>
      </c>
      <c r="I80" s="171">
        <f t="shared" si="14"/>
        <v>4627000</v>
      </c>
      <c r="J80" s="172">
        <f t="shared" si="15"/>
        <v>65217.4</v>
      </c>
      <c r="K80" s="172">
        <f t="shared" si="16"/>
        <v>204000</v>
      </c>
      <c r="L80" s="173">
        <f t="shared" si="17"/>
        <v>200000</v>
      </c>
      <c r="M80" s="174">
        <f t="shared" si="18"/>
        <v>5096217.4</v>
      </c>
    </row>
    <row r="81" spans="8:13" ht="11.25">
      <c r="H81" s="170">
        <v>2027</v>
      </c>
      <c r="I81" s="171">
        <f t="shared" si="14"/>
        <v>6638591</v>
      </c>
      <c r="J81" s="172">
        <f t="shared" si="15"/>
        <v>293478.28</v>
      </c>
      <c r="K81" s="172">
        <f t="shared" si="16"/>
        <v>205000</v>
      </c>
      <c r="L81" s="173">
        <f t="shared" si="17"/>
        <v>200000</v>
      </c>
      <c r="M81" s="174">
        <f t="shared" si="18"/>
        <v>7337069.28</v>
      </c>
    </row>
    <row r="82" spans="8:13" ht="11.25">
      <c r="H82" s="170">
        <v>2028</v>
      </c>
      <c r="I82" s="171">
        <f t="shared" si="14"/>
        <v>7100000</v>
      </c>
      <c r="J82" s="172">
        <f t="shared" si="15"/>
        <v>293478.28</v>
      </c>
      <c r="K82" s="172">
        <f t="shared" si="16"/>
        <v>364000</v>
      </c>
      <c r="L82" s="173">
        <f t="shared" si="17"/>
        <v>500000</v>
      </c>
      <c r="M82" s="174">
        <f t="shared" si="18"/>
        <v>8257478.28</v>
      </c>
    </row>
    <row r="83" spans="8:13" ht="11.25">
      <c r="H83" s="170">
        <v>2029</v>
      </c>
      <c r="I83" s="171">
        <f t="shared" si="14"/>
        <v>6475000</v>
      </c>
      <c r="J83" s="172">
        <f t="shared" si="15"/>
        <v>652173.92</v>
      </c>
      <c r="K83" s="172">
        <f t="shared" si="16"/>
        <v>1020000</v>
      </c>
      <c r="L83" s="173">
        <f t="shared" si="17"/>
        <v>500000</v>
      </c>
      <c r="M83" s="174">
        <f t="shared" si="18"/>
        <v>8647173.92</v>
      </c>
    </row>
    <row r="84" spans="8:13" ht="11.25">
      <c r="H84" s="170">
        <v>2030</v>
      </c>
      <c r="I84" s="171">
        <f t="shared" si="14"/>
        <v>6698000</v>
      </c>
      <c r="J84" s="172">
        <f t="shared" si="15"/>
        <v>652173.92</v>
      </c>
      <c r="K84" s="172">
        <f t="shared" si="16"/>
        <v>1020000</v>
      </c>
      <c r="L84" s="173">
        <f t="shared" si="17"/>
        <v>500000</v>
      </c>
      <c r="M84" s="174">
        <f t="shared" si="18"/>
        <v>8870173.92</v>
      </c>
    </row>
    <row r="85" spans="8:13" ht="11.25">
      <c r="H85" s="170">
        <v>2031</v>
      </c>
      <c r="I85" s="171">
        <f t="shared" si="14"/>
        <v>5700000</v>
      </c>
      <c r="J85" s="172">
        <f t="shared" si="15"/>
        <v>652173.92</v>
      </c>
      <c r="K85" s="172">
        <f t="shared" si="16"/>
        <v>1090000</v>
      </c>
      <c r="L85" s="173">
        <f t="shared" si="17"/>
        <v>500000</v>
      </c>
      <c r="M85" s="174">
        <f t="shared" si="18"/>
        <v>7942173.92</v>
      </c>
    </row>
    <row r="86" spans="8:13" ht="11.25">
      <c r="H86" s="170">
        <v>2032</v>
      </c>
      <c r="I86" s="171">
        <f t="shared" si="14"/>
        <v>1941000</v>
      </c>
      <c r="J86" s="172">
        <f t="shared" si="15"/>
        <v>1695652.16</v>
      </c>
      <c r="K86" s="172">
        <f t="shared" si="16"/>
        <v>3000000</v>
      </c>
      <c r="L86" s="173">
        <f t="shared" si="17"/>
        <v>500000</v>
      </c>
      <c r="M86" s="174">
        <f t="shared" si="18"/>
        <v>7136652.16</v>
      </c>
    </row>
    <row r="87" spans="8:13" ht="11.25">
      <c r="H87" s="170">
        <v>2033</v>
      </c>
      <c r="I87" s="171">
        <f t="shared" si="14"/>
        <v>0</v>
      </c>
      <c r="J87" s="172">
        <f t="shared" si="15"/>
        <v>1695652.16</v>
      </c>
      <c r="K87" s="172">
        <f t="shared" si="16"/>
        <v>4000000</v>
      </c>
      <c r="L87" s="173">
        <f t="shared" si="17"/>
        <v>500000</v>
      </c>
      <c r="M87" s="174">
        <f t="shared" si="18"/>
        <v>6195652.16</v>
      </c>
    </row>
    <row r="88" spans="8:13" ht="11.25">
      <c r="H88" s="170">
        <v>2034</v>
      </c>
      <c r="I88" s="171">
        <f t="shared" si="14"/>
        <v>0</v>
      </c>
      <c r="J88" s="172">
        <f t="shared" si="15"/>
        <v>1695652.16</v>
      </c>
      <c r="K88" s="172">
        <f t="shared" si="16"/>
        <v>4000000</v>
      </c>
      <c r="L88" s="173">
        <f t="shared" si="17"/>
        <v>500000</v>
      </c>
      <c r="M88" s="174">
        <f t="shared" si="18"/>
        <v>6195652.16</v>
      </c>
    </row>
    <row r="89" spans="8:13" ht="11.25">
      <c r="H89" s="170">
        <v>2035</v>
      </c>
      <c r="I89" s="171">
        <f t="shared" si="14"/>
        <v>0</v>
      </c>
      <c r="J89" s="172">
        <f t="shared" si="15"/>
        <v>1695652.16</v>
      </c>
      <c r="K89" s="172">
        <f t="shared" si="16"/>
        <v>3000000</v>
      </c>
      <c r="L89" s="173">
        <f t="shared" si="17"/>
        <v>500000</v>
      </c>
      <c r="M89" s="174">
        <f t="shared" si="18"/>
        <v>5195652.16</v>
      </c>
    </row>
    <row r="90" spans="8:13" ht="11.25">
      <c r="H90" s="170">
        <v>2036</v>
      </c>
      <c r="I90" s="171">
        <f t="shared" si="14"/>
        <v>0</v>
      </c>
      <c r="J90" s="172">
        <f t="shared" si="15"/>
        <v>1695652.16</v>
      </c>
      <c r="K90" s="172">
        <f t="shared" si="16"/>
        <v>3000000</v>
      </c>
      <c r="L90" s="173">
        <f t="shared" si="17"/>
        <v>500000</v>
      </c>
      <c r="M90" s="174">
        <f t="shared" si="18"/>
        <v>5195652.16</v>
      </c>
    </row>
    <row r="91" spans="8:13" ht="11.25">
      <c r="H91" s="170">
        <v>2037</v>
      </c>
      <c r="I91" s="171">
        <f t="shared" si="14"/>
        <v>0</v>
      </c>
      <c r="J91" s="172">
        <f t="shared" si="15"/>
        <v>769565.2</v>
      </c>
      <c r="K91" s="172">
        <f t="shared" si="16"/>
        <v>3000000</v>
      </c>
      <c r="L91" s="173">
        <f t="shared" si="17"/>
        <v>500000</v>
      </c>
      <c r="M91" s="174">
        <f t="shared" si="18"/>
        <v>4269565.2</v>
      </c>
    </row>
    <row r="92" spans="8:13" ht="11.25">
      <c r="H92" s="170">
        <v>2038</v>
      </c>
      <c r="I92" s="171">
        <f t="shared" si="14"/>
        <v>0</v>
      </c>
      <c r="J92" s="172">
        <f t="shared" si="15"/>
        <v>769565.2</v>
      </c>
      <c r="K92" s="172">
        <f t="shared" si="16"/>
        <v>3000000</v>
      </c>
      <c r="L92" s="173">
        <f t="shared" si="17"/>
        <v>1000000</v>
      </c>
      <c r="M92" s="174">
        <f t="shared" si="18"/>
        <v>4769565.2</v>
      </c>
    </row>
    <row r="93" spans="8:13" ht="11.25">
      <c r="H93" s="170">
        <v>2039</v>
      </c>
      <c r="I93" s="171">
        <f t="shared" si="14"/>
        <v>0</v>
      </c>
      <c r="J93" s="172">
        <f t="shared" si="15"/>
        <v>769565.2</v>
      </c>
      <c r="K93" s="172">
        <f t="shared" si="16"/>
        <v>3000000</v>
      </c>
      <c r="L93" s="173">
        <f t="shared" si="17"/>
        <v>1000000</v>
      </c>
      <c r="M93" s="174">
        <f t="shared" si="18"/>
        <v>4769565.2</v>
      </c>
    </row>
    <row r="94" spans="8:13" ht="11.25">
      <c r="H94" s="170">
        <v>2040</v>
      </c>
      <c r="I94" s="171">
        <f t="shared" si="14"/>
        <v>0</v>
      </c>
      <c r="J94" s="172">
        <f t="shared" si="15"/>
        <v>769565.2</v>
      </c>
      <c r="K94" s="172">
        <f t="shared" si="16"/>
        <v>2500000</v>
      </c>
      <c r="L94" s="173">
        <f t="shared" si="17"/>
        <v>1000000</v>
      </c>
      <c r="M94" s="174">
        <f t="shared" si="18"/>
        <v>4269565.2</v>
      </c>
    </row>
    <row r="95" spans="8:13" ht="11.25">
      <c r="H95" s="170">
        <v>2041</v>
      </c>
      <c r="I95" s="171">
        <f t="shared" si="14"/>
        <v>0</v>
      </c>
      <c r="J95" s="172">
        <f t="shared" si="15"/>
        <v>644869.6</v>
      </c>
      <c r="K95" s="172">
        <f t="shared" si="16"/>
        <v>2019506.18</v>
      </c>
      <c r="L95" s="173">
        <f t="shared" si="17"/>
        <v>1000000</v>
      </c>
      <c r="M95" s="174">
        <f t="shared" si="18"/>
        <v>3664375.78</v>
      </c>
    </row>
    <row r="96" spans="8:13" ht="13.5" customHeight="1">
      <c r="H96" s="175" t="s">
        <v>42</v>
      </c>
      <c r="I96" s="176">
        <f>SUM(I75:I95)</f>
        <v>61621350</v>
      </c>
      <c r="J96" s="177">
        <f>SUM(J75:J95)</f>
        <v>14999999.999999996</v>
      </c>
      <c r="K96" s="177">
        <f>SUM(K75:K95)</f>
        <v>34878506.18</v>
      </c>
      <c r="L96" s="176">
        <f>SUM(L75:L95)</f>
        <v>10000000</v>
      </c>
      <c r="M96" s="178">
        <f>SUM(M75:M95)</f>
        <v>121499856.17999999</v>
      </c>
    </row>
  </sheetData>
  <sheetProtection selectLockedCells="1" selectUnlockedCells="1"/>
  <mergeCells count="8">
    <mergeCell ref="H72:M72"/>
    <mergeCell ref="C1:G1"/>
    <mergeCell ref="L1:P1"/>
    <mergeCell ref="A3:B3"/>
    <mergeCell ref="B4:F4"/>
    <mergeCell ref="C7:F7"/>
    <mergeCell ref="G7:J7"/>
    <mergeCell ref="K7:M7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421"/>
  <sheetViews>
    <sheetView zoomScalePageLayoutView="0" workbookViewId="0" topLeftCell="A5">
      <selection activeCell="K12" sqref="K12"/>
    </sheetView>
  </sheetViews>
  <sheetFormatPr defaultColWidth="9.140625" defaultRowHeight="12.75"/>
  <cols>
    <col min="2" max="2" width="20.8515625" style="0" customWidth="1"/>
    <col min="3" max="3" width="18.00390625" style="0" customWidth="1"/>
    <col min="6" max="6" width="17.421875" style="0" customWidth="1"/>
    <col min="7" max="7" width="22.421875" style="0" customWidth="1"/>
    <col min="8" max="8" width="20.00390625" style="0" customWidth="1"/>
    <col min="9" max="9" width="19.421875" style="0" customWidth="1"/>
    <col min="10" max="10" width="19.140625" style="0" customWidth="1"/>
    <col min="11" max="11" width="14.57421875" style="0" customWidth="1"/>
    <col min="12" max="12" width="15.57421875" style="0" customWidth="1"/>
    <col min="15" max="15" width="15.00390625" style="0" customWidth="1"/>
    <col min="16" max="16" width="18.8515625" style="0" customWidth="1"/>
  </cols>
  <sheetData>
    <row r="1" ht="42.75" customHeight="1"/>
    <row r="2" spans="1:13" ht="15.75">
      <c r="A2" s="894" t="s">
        <v>151</v>
      </c>
      <c r="B2" s="894"/>
      <c r="C2" s="894"/>
      <c r="D2" s="894"/>
      <c r="E2" s="894"/>
      <c r="F2" s="894"/>
      <c r="G2" s="894"/>
      <c r="H2" s="409"/>
      <c r="I2" s="409"/>
      <c r="J2" s="409"/>
      <c r="K2" s="409"/>
      <c r="L2" s="409"/>
      <c r="M2" s="409"/>
    </row>
    <row r="3" spans="1:13" ht="15.75">
      <c r="A3" s="895" t="s">
        <v>152</v>
      </c>
      <c r="B3" s="895"/>
      <c r="C3" s="895"/>
      <c r="D3" s="896">
        <v>16900000</v>
      </c>
      <c r="E3" s="896"/>
      <c r="F3" s="896"/>
      <c r="G3" s="896"/>
      <c r="H3" s="409"/>
      <c r="I3" s="409"/>
      <c r="J3" s="409"/>
      <c r="K3" s="409"/>
      <c r="L3" s="409"/>
      <c r="M3" s="409"/>
    </row>
    <row r="4" spans="1:13" ht="15.75" customHeight="1">
      <c r="A4" s="883" t="s">
        <v>153</v>
      </c>
      <c r="B4" s="883"/>
      <c r="C4" s="883"/>
      <c r="D4" s="897" t="s">
        <v>154</v>
      </c>
      <c r="E4" s="897"/>
      <c r="F4" s="897"/>
      <c r="G4" s="897"/>
      <c r="H4" s="409"/>
      <c r="I4" s="409"/>
      <c r="J4" s="409"/>
      <c r="K4" s="409"/>
      <c r="L4" s="409"/>
      <c r="M4" s="409"/>
    </row>
    <row r="5" spans="1:13" ht="15.75">
      <c r="A5" s="883"/>
      <c r="B5" s="883"/>
      <c r="C5" s="883"/>
      <c r="D5" s="898">
        <v>0.0589</v>
      </c>
      <c r="E5" s="898"/>
      <c r="F5" s="898"/>
      <c r="G5" s="898"/>
      <c r="H5" s="409"/>
      <c r="I5" s="409"/>
      <c r="J5" s="409"/>
      <c r="K5" s="409"/>
      <c r="L5" s="409"/>
      <c r="M5" s="409"/>
    </row>
    <row r="6" spans="1:13" ht="15.75" customHeight="1">
      <c r="A6" s="890" t="s">
        <v>155</v>
      </c>
      <c r="B6" s="890"/>
      <c r="C6" s="890"/>
      <c r="D6" s="891">
        <v>0.0085</v>
      </c>
      <c r="E6" s="891"/>
      <c r="F6" s="891"/>
      <c r="G6" s="891"/>
      <c r="H6" s="409"/>
      <c r="I6" s="409"/>
      <c r="J6" s="409"/>
      <c r="K6" s="409"/>
      <c r="L6" s="409"/>
      <c r="M6" s="409"/>
    </row>
    <row r="7" spans="1:13" ht="93.75" customHeight="1">
      <c r="A7" s="883" t="s">
        <v>156</v>
      </c>
      <c r="B7" s="883"/>
      <c r="C7" s="883"/>
      <c r="D7" s="892" t="s">
        <v>157</v>
      </c>
      <c r="E7" s="892"/>
      <c r="F7" s="892"/>
      <c r="G7" s="892"/>
      <c r="H7" s="409"/>
      <c r="I7" s="409"/>
      <c r="J7" s="409"/>
      <c r="K7" s="409"/>
      <c r="L7" s="409"/>
      <c r="M7" s="409"/>
    </row>
    <row r="8" spans="1:13" ht="15.75">
      <c r="A8" s="890" t="s">
        <v>158</v>
      </c>
      <c r="B8" s="890"/>
      <c r="C8" s="890"/>
      <c r="D8" s="893">
        <v>0</v>
      </c>
      <c r="E8" s="893"/>
      <c r="F8" s="893"/>
      <c r="G8" s="893"/>
      <c r="H8" s="409"/>
      <c r="I8" s="409"/>
      <c r="J8" s="409"/>
      <c r="K8" s="409"/>
      <c r="L8" s="409"/>
      <c r="M8" s="409"/>
    </row>
    <row r="9" spans="1:13" ht="15.75" customHeight="1">
      <c r="A9" s="881" t="s">
        <v>159</v>
      </c>
      <c r="B9" s="881"/>
      <c r="C9" s="881"/>
      <c r="D9" s="886">
        <v>44530</v>
      </c>
      <c r="E9" s="886"/>
      <c r="F9" s="886"/>
      <c r="G9" s="886"/>
      <c r="H9" s="409"/>
      <c r="I9" s="409"/>
      <c r="J9" s="409"/>
      <c r="K9" s="409"/>
      <c r="L9" s="409"/>
      <c r="M9" s="409"/>
    </row>
    <row r="10" spans="1:13" ht="15.75" customHeight="1">
      <c r="A10" s="881" t="s">
        <v>160</v>
      </c>
      <c r="B10" s="881"/>
      <c r="C10" s="881"/>
      <c r="D10" s="887" t="s">
        <v>161</v>
      </c>
      <c r="E10" s="887"/>
      <c r="F10" s="887"/>
      <c r="G10" s="887"/>
      <c r="H10" s="409"/>
      <c r="I10" s="409"/>
      <c r="J10" s="409"/>
      <c r="K10" s="409"/>
      <c r="L10" s="409"/>
      <c r="M10" s="409"/>
    </row>
    <row r="11" spans="1:13" ht="86.25" customHeight="1">
      <c r="A11" s="888" t="s">
        <v>162</v>
      </c>
      <c r="B11" s="888"/>
      <c r="C11" s="888"/>
      <c r="D11" s="410" t="s">
        <v>163</v>
      </c>
      <c r="E11" s="889" t="s">
        <v>164</v>
      </c>
      <c r="F11" s="889"/>
      <c r="G11" s="889"/>
      <c r="H11" s="411"/>
      <c r="I11" s="409"/>
      <c r="J11" s="409"/>
      <c r="K11" s="409"/>
      <c r="L11" s="409"/>
      <c r="M11" s="409"/>
    </row>
    <row r="12" spans="1:13" ht="15.75" customHeight="1">
      <c r="A12" s="881" t="s">
        <v>162</v>
      </c>
      <c r="B12" s="881"/>
      <c r="C12" s="881"/>
      <c r="D12" s="882"/>
      <c r="E12" s="882"/>
      <c r="F12" s="882"/>
      <c r="G12" s="882"/>
      <c r="H12" s="409"/>
      <c r="I12" s="409"/>
      <c r="J12" s="409"/>
      <c r="K12" s="409"/>
      <c r="L12" s="409"/>
      <c r="M12" s="409"/>
    </row>
    <row r="13" spans="1:13" ht="15.75" customHeight="1">
      <c r="A13" s="883" t="s">
        <v>165</v>
      </c>
      <c r="B13" s="883"/>
      <c r="C13" s="883"/>
      <c r="D13" s="884" t="s">
        <v>166</v>
      </c>
      <c r="E13" s="884"/>
      <c r="F13" s="884"/>
      <c r="G13" s="884"/>
      <c r="H13" s="409"/>
      <c r="I13" s="409"/>
      <c r="J13" s="409"/>
      <c r="K13" s="409"/>
      <c r="L13" s="409"/>
      <c r="M13" s="409"/>
    </row>
    <row r="16" spans="1:13" ht="18.75">
      <c r="A16" s="409"/>
      <c r="B16" s="885" t="s">
        <v>167</v>
      </c>
      <c r="C16" s="885"/>
      <c r="D16" s="885"/>
      <c r="E16" s="885"/>
      <c r="F16" s="885"/>
      <c r="G16" s="885"/>
      <c r="H16" s="885"/>
      <c r="I16" s="885"/>
      <c r="J16" s="885"/>
      <c r="K16" s="412"/>
      <c r="L16" s="413"/>
      <c r="M16" s="412"/>
    </row>
    <row r="17" spans="2:13" ht="78.75">
      <c r="B17" s="414" t="s">
        <v>168</v>
      </c>
      <c r="C17" s="415" t="s">
        <v>169</v>
      </c>
      <c r="D17" s="415" t="s">
        <v>170</v>
      </c>
      <c r="E17" s="415" t="s">
        <v>171</v>
      </c>
      <c r="F17" s="415" t="s">
        <v>172</v>
      </c>
      <c r="G17" s="415" t="s">
        <v>162</v>
      </c>
      <c r="H17" s="415" t="s">
        <v>173</v>
      </c>
      <c r="I17" s="415" t="s">
        <v>174</v>
      </c>
      <c r="J17" s="415" t="s">
        <v>175</v>
      </c>
      <c r="K17" s="409"/>
      <c r="L17" s="409"/>
      <c r="M17" s="409"/>
    </row>
    <row r="18" spans="2:13" ht="15">
      <c r="B18" s="879" t="s">
        <v>176</v>
      </c>
      <c r="C18" s="879" t="s">
        <v>177</v>
      </c>
      <c r="D18" s="879" t="s">
        <v>178</v>
      </c>
      <c r="E18" s="416" t="s">
        <v>179</v>
      </c>
      <c r="F18" s="879" t="s">
        <v>180</v>
      </c>
      <c r="G18" s="879" t="s">
        <v>181</v>
      </c>
      <c r="H18" s="879" t="s">
        <v>182</v>
      </c>
      <c r="I18" s="879" t="s">
        <v>183</v>
      </c>
      <c r="J18" s="417" t="s">
        <v>184</v>
      </c>
      <c r="K18" s="409" t="s">
        <v>48</v>
      </c>
      <c r="L18" s="409" t="s">
        <v>185</v>
      </c>
      <c r="M18" s="409"/>
    </row>
    <row r="19" spans="2:13" ht="22.5">
      <c r="B19" s="879"/>
      <c r="C19" s="879"/>
      <c r="D19" s="879"/>
      <c r="E19" s="418" t="s">
        <v>186</v>
      </c>
      <c r="F19" s="879"/>
      <c r="G19" s="879"/>
      <c r="H19" s="879"/>
      <c r="I19" s="879"/>
      <c r="J19" s="419" t="s">
        <v>187</v>
      </c>
      <c r="K19" s="409"/>
      <c r="L19" s="409"/>
      <c r="M19" s="409"/>
    </row>
    <row r="20" spans="2:13" ht="15.75" hidden="1">
      <c r="B20" s="420">
        <v>44165</v>
      </c>
      <c r="C20" s="421">
        <f>D5</f>
        <v>0.0589</v>
      </c>
      <c r="D20" s="422">
        <f>D6</f>
        <v>0.0085</v>
      </c>
      <c r="E20" s="423">
        <f aca="true" t="shared" si="0" ref="E20:E83">C20+D20</f>
        <v>0.0674</v>
      </c>
      <c r="F20" s="424"/>
      <c r="G20" s="425"/>
      <c r="H20" s="426">
        <f>F20</f>
        <v>0</v>
      </c>
      <c r="I20" s="427">
        <v>1</v>
      </c>
      <c r="J20" s="428">
        <f>H20*E20*I20/366</f>
        <v>0</v>
      </c>
      <c r="K20" s="429"/>
      <c r="L20" s="429"/>
      <c r="M20" s="429"/>
    </row>
    <row r="21" spans="2:13" ht="15.75" hidden="1">
      <c r="B21" s="430">
        <v>44196</v>
      </c>
      <c r="C21" s="431">
        <f aca="true" t="shared" si="1" ref="C21:C84">C20</f>
        <v>0.0589</v>
      </c>
      <c r="D21" s="432">
        <f aca="true" t="shared" si="2" ref="D21:D84">D20</f>
        <v>0.0085</v>
      </c>
      <c r="E21" s="433">
        <f t="shared" si="0"/>
        <v>0.0674</v>
      </c>
      <c r="F21" s="434"/>
      <c r="G21" s="435"/>
      <c r="H21" s="434">
        <f aca="true" t="shared" si="3" ref="H21:H35">H20-G21</f>
        <v>0</v>
      </c>
      <c r="I21" s="436">
        <v>31</v>
      </c>
      <c r="J21" s="437">
        <f>H21*E21*I21/366</f>
        <v>0</v>
      </c>
      <c r="K21" s="438">
        <f>J20+J21</f>
        <v>0</v>
      </c>
      <c r="L21" s="439" t="s">
        <v>188</v>
      </c>
      <c r="M21" s="439"/>
    </row>
    <row r="22" spans="2:13" ht="15.75" hidden="1">
      <c r="B22" s="440">
        <v>44227</v>
      </c>
      <c r="C22" s="441">
        <f t="shared" si="1"/>
        <v>0.0589</v>
      </c>
      <c r="D22" s="442">
        <f t="shared" si="2"/>
        <v>0.0085</v>
      </c>
      <c r="E22" s="443">
        <f t="shared" si="0"/>
        <v>0.0674</v>
      </c>
      <c r="F22" s="444"/>
      <c r="G22" s="445"/>
      <c r="H22" s="444">
        <f t="shared" si="3"/>
        <v>0</v>
      </c>
      <c r="I22" s="446">
        <v>31</v>
      </c>
      <c r="J22" s="447">
        <f aca="true" t="shared" si="4" ref="J22:J39">H22*E22*I22/365</f>
        <v>0</v>
      </c>
      <c r="K22" s="438">
        <f>SUM(J22:J39)</f>
        <v>193484.16438356164</v>
      </c>
      <c r="L22" s="439" t="s">
        <v>189</v>
      </c>
      <c r="M22" s="439"/>
    </row>
    <row r="23" spans="2:13" ht="15.75" hidden="1">
      <c r="B23" s="448">
        <v>44255</v>
      </c>
      <c r="C23" s="449">
        <f t="shared" si="1"/>
        <v>0.0589</v>
      </c>
      <c r="D23" s="450">
        <f t="shared" si="2"/>
        <v>0.0085</v>
      </c>
      <c r="E23" s="451">
        <f t="shared" si="0"/>
        <v>0.0674</v>
      </c>
      <c r="F23" s="452"/>
      <c r="G23" s="453"/>
      <c r="H23" s="452">
        <f t="shared" si="3"/>
        <v>0</v>
      </c>
      <c r="I23" s="454">
        <v>28</v>
      </c>
      <c r="J23" s="455">
        <f t="shared" si="4"/>
        <v>0</v>
      </c>
      <c r="K23" s="456"/>
      <c r="L23" s="457"/>
      <c r="M23" s="457"/>
    </row>
    <row r="24" spans="2:13" ht="15.75" hidden="1">
      <c r="B24" s="448">
        <v>44284</v>
      </c>
      <c r="C24" s="449">
        <f t="shared" si="1"/>
        <v>0.0589</v>
      </c>
      <c r="D24" s="450">
        <f t="shared" si="2"/>
        <v>0.0085</v>
      </c>
      <c r="E24" s="451">
        <f t="shared" si="0"/>
        <v>0.0674</v>
      </c>
      <c r="F24" s="452"/>
      <c r="G24" s="453"/>
      <c r="H24" s="452">
        <f t="shared" si="3"/>
        <v>0</v>
      </c>
      <c r="I24" s="454">
        <v>29</v>
      </c>
      <c r="J24" s="455">
        <f t="shared" si="4"/>
        <v>0</v>
      </c>
      <c r="K24" s="456"/>
      <c r="L24" s="457"/>
      <c r="M24" s="457"/>
    </row>
    <row r="25" spans="2:13" ht="15.75" hidden="1">
      <c r="B25" s="458">
        <v>44285</v>
      </c>
      <c r="C25" s="449">
        <f t="shared" si="1"/>
        <v>0.0589</v>
      </c>
      <c r="D25" s="450">
        <f t="shared" si="2"/>
        <v>0.0085</v>
      </c>
      <c r="E25" s="451">
        <f t="shared" si="0"/>
        <v>0.0674</v>
      </c>
      <c r="F25" s="452"/>
      <c r="G25" s="459"/>
      <c r="H25" s="452">
        <f t="shared" si="3"/>
        <v>0</v>
      </c>
      <c r="I25" s="454">
        <v>1</v>
      </c>
      <c r="J25" s="455">
        <f t="shared" si="4"/>
        <v>0</v>
      </c>
      <c r="K25" s="439"/>
      <c r="L25" s="439"/>
      <c r="M25" s="439"/>
    </row>
    <row r="26" spans="2:13" ht="15.75" hidden="1">
      <c r="B26" s="448">
        <v>44286</v>
      </c>
      <c r="C26" s="449">
        <f t="shared" si="1"/>
        <v>0.0589</v>
      </c>
      <c r="D26" s="450">
        <f t="shared" si="2"/>
        <v>0.0085</v>
      </c>
      <c r="E26" s="451">
        <f t="shared" si="0"/>
        <v>0.0674</v>
      </c>
      <c r="F26" s="452"/>
      <c r="G26" s="453"/>
      <c r="H26" s="452">
        <f t="shared" si="3"/>
        <v>0</v>
      </c>
      <c r="I26" s="454">
        <v>1</v>
      </c>
      <c r="J26" s="455">
        <f t="shared" si="4"/>
        <v>0</v>
      </c>
      <c r="K26" s="457"/>
      <c r="L26" s="457"/>
      <c r="M26" s="457"/>
    </row>
    <row r="27" spans="2:13" ht="15.75" hidden="1">
      <c r="B27" s="448">
        <v>44316</v>
      </c>
      <c r="C27" s="449">
        <f t="shared" si="1"/>
        <v>0.0589</v>
      </c>
      <c r="D27" s="450">
        <f t="shared" si="2"/>
        <v>0.0085</v>
      </c>
      <c r="E27" s="451">
        <f t="shared" si="0"/>
        <v>0.0674</v>
      </c>
      <c r="F27" s="452"/>
      <c r="G27" s="453"/>
      <c r="H27" s="452">
        <f t="shared" si="3"/>
        <v>0</v>
      </c>
      <c r="I27" s="454">
        <v>30</v>
      </c>
      <c r="J27" s="455">
        <f t="shared" si="4"/>
        <v>0</v>
      </c>
      <c r="K27" s="460"/>
      <c r="L27" s="460"/>
      <c r="M27" s="460"/>
    </row>
    <row r="28" spans="2:13" ht="15.75" hidden="1">
      <c r="B28" s="461">
        <v>44347</v>
      </c>
      <c r="C28" s="449">
        <f t="shared" si="1"/>
        <v>0.0589</v>
      </c>
      <c r="D28" s="450">
        <f t="shared" si="2"/>
        <v>0.0085</v>
      </c>
      <c r="E28" s="451">
        <f t="shared" si="0"/>
        <v>0.0674</v>
      </c>
      <c r="F28" s="462"/>
      <c r="G28" s="459"/>
      <c r="H28" s="452">
        <f t="shared" si="3"/>
        <v>0</v>
      </c>
      <c r="I28" s="454">
        <v>31</v>
      </c>
      <c r="J28" s="455">
        <f t="shared" si="4"/>
        <v>0</v>
      </c>
      <c r="K28" s="439"/>
      <c r="L28" s="439"/>
      <c r="M28" s="439"/>
    </row>
    <row r="29" spans="2:13" ht="15.75" hidden="1">
      <c r="B29" s="461">
        <v>44376</v>
      </c>
      <c r="C29" s="449">
        <f t="shared" si="1"/>
        <v>0.0589</v>
      </c>
      <c r="D29" s="450">
        <f t="shared" si="2"/>
        <v>0.0085</v>
      </c>
      <c r="E29" s="451">
        <f t="shared" si="0"/>
        <v>0.0674</v>
      </c>
      <c r="F29" s="462"/>
      <c r="G29" s="459"/>
      <c r="H29" s="452">
        <f t="shared" si="3"/>
        <v>0</v>
      </c>
      <c r="I29" s="454">
        <v>29</v>
      </c>
      <c r="J29" s="455">
        <f t="shared" si="4"/>
        <v>0</v>
      </c>
      <c r="K29" s="439"/>
      <c r="L29" s="439"/>
      <c r="M29" s="439"/>
    </row>
    <row r="30" spans="2:13" ht="15.75" hidden="1">
      <c r="B30" s="458">
        <v>44377</v>
      </c>
      <c r="C30" s="449">
        <f t="shared" si="1"/>
        <v>0.0589</v>
      </c>
      <c r="D30" s="450">
        <f t="shared" si="2"/>
        <v>0.0085</v>
      </c>
      <c r="E30" s="451">
        <f t="shared" si="0"/>
        <v>0.0674</v>
      </c>
      <c r="F30" s="452"/>
      <c r="G30" s="459"/>
      <c r="H30" s="452">
        <f t="shared" si="3"/>
        <v>0</v>
      </c>
      <c r="I30" s="454">
        <v>1</v>
      </c>
      <c r="J30" s="455">
        <f t="shared" si="4"/>
        <v>0</v>
      </c>
      <c r="K30" s="439"/>
      <c r="L30" s="439"/>
      <c r="M30" s="438"/>
    </row>
    <row r="31" spans="2:13" ht="15.75" hidden="1">
      <c r="B31" s="448">
        <v>44408</v>
      </c>
      <c r="C31" s="449">
        <f t="shared" si="1"/>
        <v>0.0589</v>
      </c>
      <c r="D31" s="450">
        <f t="shared" si="2"/>
        <v>0.0085</v>
      </c>
      <c r="E31" s="451">
        <f t="shared" si="0"/>
        <v>0.0674</v>
      </c>
      <c r="F31" s="452"/>
      <c r="G31" s="453"/>
      <c r="H31" s="452">
        <f t="shared" si="3"/>
        <v>0</v>
      </c>
      <c r="I31" s="454">
        <v>31</v>
      </c>
      <c r="J31" s="455">
        <f t="shared" si="4"/>
        <v>0</v>
      </c>
      <c r="K31" s="457"/>
      <c r="L31" s="457"/>
      <c r="M31" s="457"/>
    </row>
    <row r="32" spans="2:13" ht="15.75" hidden="1">
      <c r="B32" s="448">
        <v>44439</v>
      </c>
      <c r="C32" s="449">
        <f t="shared" si="1"/>
        <v>0.0589</v>
      </c>
      <c r="D32" s="450">
        <f t="shared" si="2"/>
        <v>0.0085</v>
      </c>
      <c r="E32" s="451">
        <f t="shared" si="0"/>
        <v>0.0674</v>
      </c>
      <c r="F32" s="452"/>
      <c r="G32" s="453"/>
      <c r="H32" s="452">
        <f t="shared" si="3"/>
        <v>0</v>
      </c>
      <c r="I32" s="454">
        <v>31</v>
      </c>
      <c r="J32" s="455">
        <f t="shared" si="4"/>
        <v>0</v>
      </c>
      <c r="K32" s="439"/>
      <c r="L32" s="439"/>
      <c r="M32" s="409"/>
    </row>
    <row r="33" spans="2:13" ht="15.75" hidden="1">
      <c r="B33" s="448">
        <v>44468</v>
      </c>
      <c r="C33" s="449">
        <f t="shared" si="1"/>
        <v>0.0589</v>
      </c>
      <c r="D33" s="450">
        <f t="shared" si="2"/>
        <v>0.0085</v>
      </c>
      <c r="E33" s="451">
        <f t="shared" si="0"/>
        <v>0.0674</v>
      </c>
      <c r="F33" s="452"/>
      <c r="G33" s="453"/>
      <c r="H33" s="452">
        <f t="shared" si="3"/>
        <v>0</v>
      </c>
      <c r="I33" s="454">
        <v>29</v>
      </c>
      <c r="J33" s="455">
        <f t="shared" si="4"/>
        <v>0</v>
      </c>
      <c r="K33" s="439"/>
      <c r="L33" s="439"/>
      <c r="M33" s="409"/>
    </row>
    <row r="34" spans="2:13" ht="15.75" hidden="1">
      <c r="B34" s="458">
        <v>44469</v>
      </c>
      <c r="C34" s="449">
        <f t="shared" si="1"/>
        <v>0.0589</v>
      </c>
      <c r="D34" s="450">
        <f t="shared" si="2"/>
        <v>0.0085</v>
      </c>
      <c r="E34" s="451">
        <f t="shared" si="0"/>
        <v>0.0674</v>
      </c>
      <c r="F34" s="452"/>
      <c r="G34" s="459"/>
      <c r="H34" s="452">
        <f t="shared" si="3"/>
        <v>0</v>
      </c>
      <c r="I34" s="454">
        <v>1</v>
      </c>
      <c r="J34" s="455">
        <f t="shared" si="4"/>
        <v>0</v>
      </c>
      <c r="K34" s="457"/>
      <c r="L34" s="457"/>
      <c r="M34" s="439"/>
    </row>
    <row r="35" spans="2:13" ht="15.75" hidden="1">
      <c r="B35" s="461">
        <v>44500</v>
      </c>
      <c r="C35" s="449">
        <f t="shared" si="1"/>
        <v>0.0589</v>
      </c>
      <c r="D35" s="450">
        <f t="shared" si="2"/>
        <v>0.0085</v>
      </c>
      <c r="E35" s="451">
        <f t="shared" si="0"/>
        <v>0.0674</v>
      </c>
      <c r="F35" s="462"/>
      <c r="G35" s="459"/>
      <c r="H35" s="452">
        <f t="shared" si="3"/>
        <v>0</v>
      </c>
      <c r="I35" s="454">
        <v>30</v>
      </c>
      <c r="J35" s="455">
        <f t="shared" si="4"/>
        <v>0</v>
      </c>
      <c r="K35" s="429"/>
      <c r="L35" s="429"/>
      <c r="M35" s="429"/>
    </row>
    <row r="36" spans="2:16" ht="15.75">
      <c r="B36" s="463">
        <v>44530</v>
      </c>
      <c r="C36" s="449">
        <f t="shared" si="1"/>
        <v>0.0589</v>
      </c>
      <c r="D36" s="450">
        <f t="shared" si="2"/>
        <v>0.0085</v>
      </c>
      <c r="E36" s="451">
        <f t="shared" si="0"/>
        <v>0.0674</v>
      </c>
      <c r="F36" s="464">
        <v>16900000</v>
      </c>
      <c r="G36" s="465"/>
      <c r="H36" s="452">
        <v>16900000</v>
      </c>
      <c r="I36" s="466">
        <v>31</v>
      </c>
      <c r="J36" s="455">
        <f t="shared" si="4"/>
        <v>96742.08219178082</v>
      </c>
      <c r="K36" s="467">
        <f>J36+J37+J38+J39</f>
        <v>193484.16438356164</v>
      </c>
      <c r="L36" s="467">
        <f>SUM(G36:G39)</f>
        <v>0</v>
      </c>
      <c r="M36" s="429"/>
      <c r="N36" s="880" t="s">
        <v>190</v>
      </c>
      <c r="O36" s="880"/>
      <c r="P36" s="880"/>
    </row>
    <row r="37" spans="2:16" ht="15.75">
      <c r="B37" s="463">
        <v>44559</v>
      </c>
      <c r="C37" s="449">
        <f t="shared" si="1"/>
        <v>0.0589</v>
      </c>
      <c r="D37" s="450">
        <f t="shared" si="2"/>
        <v>0.0085</v>
      </c>
      <c r="E37" s="451">
        <f t="shared" si="0"/>
        <v>0.0674</v>
      </c>
      <c r="F37" s="464"/>
      <c r="G37" s="465"/>
      <c r="H37" s="452">
        <f aca="true" t="shared" si="5" ref="H37:H100">H36-G37</f>
        <v>16900000</v>
      </c>
      <c r="I37" s="466">
        <v>29</v>
      </c>
      <c r="J37" s="455">
        <f t="shared" si="4"/>
        <v>90500.65753424658</v>
      </c>
      <c r="K37" s="429"/>
      <c r="L37" s="429"/>
      <c r="M37" s="429"/>
      <c r="N37" s="880"/>
      <c r="O37" s="880"/>
      <c r="P37" s="880"/>
    </row>
    <row r="38" spans="2:16" ht="15.75">
      <c r="B38" s="468">
        <v>44560</v>
      </c>
      <c r="C38" s="449">
        <f t="shared" si="1"/>
        <v>0.0589</v>
      </c>
      <c r="D38" s="450">
        <f t="shared" si="2"/>
        <v>0.0085</v>
      </c>
      <c r="E38" s="451">
        <f t="shared" si="0"/>
        <v>0.0674</v>
      </c>
      <c r="F38" s="464"/>
      <c r="G38" s="465"/>
      <c r="H38" s="452">
        <f t="shared" si="5"/>
        <v>16900000</v>
      </c>
      <c r="I38" s="466">
        <v>1</v>
      </c>
      <c r="J38" s="455">
        <f t="shared" si="4"/>
        <v>3120.7123287671234</v>
      </c>
      <c r="K38" s="429"/>
      <c r="L38" s="429"/>
      <c r="M38" s="429"/>
      <c r="N38" s="880"/>
      <c r="O38" s="880"/>
      <c r="P38" s="880"/>
    </row>
    <row r="39" spans="2:16" ht="15.75">
      <c r="B39" s="469">
        <v>44561</v>
      </c>
      <c r="C39" s="470">
        <f t="shared" si="1"/>
        <v>0.0589</v>
      </c>
      <c r="D39" s="471">
        <f t="shared" si="2"/>
        <v>0.0085</v>
      </c>
      <c r="E39" s="472">
        <f t="shared" si="0"/>
        <v>0.0674</v>
      </c>
      <c r="F39" s="473"/>
      <c r="G39" s="474"/>
      <c r="H39" s="473">
        <f t="shared" si="5"/>
        <v>16900000</v>
      </c>
      <c r="I39" s="475">
        <v>1</v>
      </c>
      <c r="J39" s="476">
        <f t="shared" si="4"/>
        <v>3120.7123287671234</v>
      </c>
      <c r="K39" s="409"/>
      <c r="L39" s="439"/>
      <c r="M39" s="439"/>
      <c r="N39" s="477" t="s">
        <v>109</v>
      </c>
      <c r="O39" s="478" t="s">
        <v>110</v>
      </c>
      <c r="P39" s="478" t="s">
        <v>191</v>
      </c>
    </row>
    <row r="40" spans="2:16" ht="15.75">
      <c r="B40" s="479">
        <v>44592</v>
      </c>
      <c r="C40" s="421">
        <f t="shared" si="1"/>
        <v>0.0589</v>
      </c>
      <c r="D40" s="422">
        <f t="shared" si="2"/>
        <v>0.0085</v>
      </c>
      <c r="E40" s="423">
        <f t="shared" si="0"/>
        <v>0.0674</v>
      </c>
      <c r="F40" s="426"/>
      <c r="G40" s="480"/>
      <c r="H40" s="426">
        <f t="shared" si="5"/>
        <v>16900000</v>
      </c>
      <c r="I40" s="427">
        <v>31</v>
      </c>
      <c r="J40" s="428">
        <v>48088.6</v>
      </c>
      <c r="K40" s="438">
        <f>SUM(J40:J57)</f>
        <v>957602.4175342466</v>
      </c>
      <c r="L40" s="438">
        <f>SUM(G40:G57)</f>
        <v>50000</v>
      </c>
      <c r="M40" s="439"/>
      <c r="N40" s="265">
        <v>2021</v>
      </c>
      <c r="O40" s="266">
        <f>G52</f>
        <v>0</v>
      </c>
      <c r="P40" s="266"/>
    </row>
    <row r="41" spans="2:16" ht="15.75">
      <c r="B41" s="481">
        <v>44620</v>
      </c>
      <c r="C41" s="482">
        <f t="shared" si="1"/>
        <v>0.0589</v>
      </c>
      <c r="D41" s="483">
        <f t="shared" si="2"/>
        <v>0.0085</v>
      </c>
      <c r="E41" s="484">
        <f t="shared" si="0"/>
        <v>0.0674</v>
      </c>
      <c r="F41" s="485"/>
      <c r="G41" s="486"/>
      <c r="H41" s="485">
        <f t="shared" si="5"/>
        <v>16900000</v>
      </c>
      <c r="I41" s="487">
        <v>28</v>
      </c>
      <c r="J41" s="488">
        <v>43949.27</v>
      </c>
      <c r="K41" s="457"/>
      <c r="L41" s="457"/>
      <c r="M41" s="457"/>
      <c r="N41" s="265">
        <v>2022</v>
      </c>
      <c r="O41" s="266">
        <f>G43</f>
        <v>50000</v>
      </c>
      <c r="P41" s="266">
        <f>K40</f>
        <v>957602.4175342466</v>
      </c>
    </row>
    <row r="42" spans="2:16" ht="15.75">
      <c r="B42" s="481">
        <v>44649</v>
      </c>
      <c r="C42" s="482">
        <f t="shared" si="1"/>
        <v>0.0589</v>
      </c>
      <c r="D42" s="483">
        <f t="shared" si="2"/>
        <v>0.0085</v>
      </c>
      <c r="E42" s="484">
        <f t="shared" si="0"/>
        <v>0.0674</v>
      </c>
      <c r="F42" s="485"/>
      <c r="G42" s="489"/>
      <c r="H42" s="485">
        <f t="shared" si="5"/>
        <v>16900000</v>
      </c>
      <c r="I42" s="487">
        <v>29</v>
      </c>
      <c r="J42" s="488">
        <v>47088.5</v>
      </c>
      <c r="K42" s="457"/>
      <c r="L42" s="457"/>
      <c r="M42" s="457"/>
      <c r="N42" s="265">
        <v>2023</v>
      </c>
      <c r="O42" s="266">
        <f>G61</f>
        <v>100000</v>
      </c>
      <c r="P42" s="266">
        <f>K58</f>
        <v>1294620.355068493</v>
      </c>
    </row>
    <row r="43" spans="2:16" ht="15.75">
      <c r="B43" s="490">
        <v>44650</v>
      </c>
      <c r="C43" s="482">
        <f t="shared" si="1"/>
        <v>0.0589</v>
      </c>
      <c r="D43" s="483">
        <f t="shared" si="2"/>
        <v>0.0085</v>
      </c>
      <c r="E43" s="484">
        <f t="shared" si="0"/>
        <v>0.0674</v>
      </c>
      <c r="F43" s="485"/>
      <c r="G43" s="489">
        <v>50000</v>
      </c>
      <c r="H43" s="485">
        <f t="shared" si="5"/>
        <v>16850000</v>
      </c>
      <c r="I43" s="487">
        <v>1</v>
      </c>
      <c r="J43" s="488">
        <f>H43*E43*I43/365</f>
        <v>3111.4794520547944</v>
      </c>
      <c r="K43" s="457"/>
      <c r="L43" s="457"/>
      <c r="M43" s="457"/>
      <c r="N43" s="265">
        <v>2024</v>
      </c>
      <c r="O43" s="266">
        <f>G79</f>
        <v>150000</v>
      </c>
      <c r="P43" s="266">
        <f>K76</f>
        <v>1121298.442622951</v>
      </c>
    </row>
    <row r="44" spans="2:16" ht="15.75">
      <c r="B44" s="481">
        <v>44651</v>
      </c>
      <c r="C44" s="482">
        <f t="shared" si="1"/>
        <v>0.0589</v>
      </c>
      <c r="D44" s="483">
        <f t="shared" si="2"/>
        <v>0.0085</v>
      </c>
      <c r="E44" s="484">
        <f t="shared" si="0"/>
        <v>0.0674</v>
      </c>
      <c r="F44" s="485"/>
      <c r="G44" s="486"/>
      <c r="H44" s="485">
        <f t="shared" si="5"/>
        <v>16850000</v>
      </c>
      <c r="I44" s="487">
        <v>1</v>
      </c>
      <c r="J44" s="488">
        <f>H44*E44*I44/365</f>
        <v>3111.4794520547944</v>
      </c>
      <c r="K44" s="457"/>
      <c r="L44" s="457"/>
      <c r="M44" s="457"/>
      <c r="N44" s="265">
        <v>2025</v>
      </c>
      <c r="O44" s="266">
        <f>G97</f>
        <v>150000</v>
      </c>
      <c r="P44" s="266">
        <f>K94</f>
        <v>1111167.4794520547</v>
      </c>
    </row>
    <row r="45" spans="2:16" ht="15.75">
      <c r="B45" s="481">
        <v>44681</v>
      </c>
      <c r="C45" s="482">
        <f t="shared" si="1"/>
        <v>0.0589</v>
      </c>
      <c r="D45" s="483">
        <f t="shared" si="2"/>
        <v>0.0085</v>
      </c>
      <c r="E45" s="484">
        <f t="shared" si="0"/>
        <v>0.0674</v>
      </c>
      <c r="F45" s="485"/>
      <c r="G45" s="486"/>
      <c r="H45" s="485">
        <f t="shared" si="5"/>
        <v>16850000</v>
      </c>
      <c r="I45" s="487">
        <v>30</v>
      </c>
      <c r="J45" s="488">
        <v>83557.54</v>
      </c>
      <c r="K45" s="457"/>
      <c r="L45" s="457"/>
      <c r="M45" s="457"/>
      <c r="N45" s="265">
        <v>2026</v>
      </c>
      <c r="O45" s="266">
        <f>G115</f>
        <v>200000</v>
      </c>
      <c r="P45" s="266">
        <f>K112</f>
        <v>1098499.97260274</v>
      </c>
    </row>
    <row r="46" spans="2:16" ht="15.75">
      <c r="B46" s="491">
        <v>44712</v>
      </c>
      <c r="C46" s="482">
        <f t="shared" si="1"/>
        <v>0.0589</v>
      </c>
      <c r="D46" s="483">
        <f t="shared" si="2"/>
        <v>0.0085</v>
      </c>
      <c r="E46" s="484">
        <f t="shared" si="0"/>
        <v>0.0674</v>
      </c>
      <c r="F46" s="485"/>
      <c r="G46" s="486"/>
      <c r="H46" s="485">
        <f t="shared" si="5"/>
        <v>16850000</v>
      </c>
      <c r="I46" s="487">
        <v>31</v>
      </c>
      <c r="J46" s="488">
        <v>72644.26</v>
      </c>
      <c r="K46" s="457"/>
      <c r="L46" s="457"/>
      <c r="M46" s="457"/>
      <c r="N46" s="265">
        <v>2027</v>
      </c>
      <c r="O46" s="266">
        <f>G133</f>
        <v>200000</v>
      </c>
      <c r="P46" s="266">
        <f>K130</f>
        <v>1085019.9726027397</v>
      </c>
    </row>
    <row r="47" spans="2:16" ht="15.75">
      <c r="B47" s="491">
        <v>44741</v>
      </c>
      <c r="C47" s="482">
        <f t="shared" si="1"/>
        <v>0.0589</v>
      </c>
      <c r="D47" s="483">
        <f t="shared" si="2"/>
        <v>0.0085</v>
      </c>
      <c r="E47" s="484">
        <f t="shared" si="0"/>
        <v>0.0674</v>
      </c>
      <c r="F47" s="492"/>
      <c r="G47" s="489"/>
      <c r="H47" s="485">
        <f t="shared" si="5"/>
        <v>16850000</v>
      </c>
      <c r="I47" s="493">
        <v>29</v>
      </c>
      <c r="J47" s="488">
        <v>80427.59</v>
      </c>
      <c r="K47" s="460"/>
      <c r="L47" s="460"/>
      <c r="M47" s="460"/>
      <c r="N47" s="265">
        <v>2028</v>
      </c>
      <c r="O47" s="266">
        <f>G151</f>
        <v>350000</v>
      </c>
      <c r="P47" s="266">
        <f>K148</f>
        <v>1066831.2054794522</v>
      </c>
    </row>
    <row r="48" spans="2:16" ht="15.75">
      <c r="B48" s="490">
        <v>44742</v>
      </c>
      <c r="C48" s="482">
        <f t="shared" si="1"/>
        <v>0.0589</v>
      </c>
      <c r="D48" s="483">
        <f t="shared" si="2"/>
        <v>0.0085</v>
      </c>
      <c r="E48" s="484">
        <f t="shared" si="0"/>
        <v>0.0674</v>
      </c>
      <c r="F48" s="485"/>
      <c r="G48" s="489"/>
      <c r="H48" s="485">
        <f t="shared" si="5"/>
        <v>16850000</v>
      </c>
      <c r="I48" s="487">
        <v>1</v>
      </c>
      <c r="J48" s="488">
        <f aca="true" t="shared" si="6" ref="J48:J75">H48*E48*I48/365</f>
        <v>3111.4794520547944</v>
      </c>
      <c r="K48" s="439"/>
      <c r="L48" s="439"/>
      <c r="M48" s="439"/>
      <c r="N48" s="265">
        <v>2029</v>
      </c>
      <c r="O48" s="266">
        <f>G169+G174+G178+G182</f>
        <v>1000000</v>
      </c>
      <c r="P48" s="266">
        <f>K166</f>
        <v>1032466.4383561644</v>
      </c>
    </row>
    <row r="49" spans="2:16" ht="15.75">
      <c r="B49" s="481">
        <v>44773</v>
      </c>
      <c r="C49" s="482">
        <f t="shared" si="1"/>
        <v>0.0589</v>
      </c>
      <c r="D49" s="483">
        <f t="shared" si="2"/>
        <v>0.0085</v>
      </c>
      <c r="E49" s="484">
        <f t="shared" si="0"/>
        <v>0.0674</v>
      </c>
      <c r="F49" s="485"/>
      <c r="G49" s="486"/>
      <c r="H49" s="485">
        <f t="shared" si="5"/>
        <v>16850000</v>
      </c>
      <c r="I49" s="487">
        <v>31</v>
      </c>
      <c r="J49" s="488">
        <f t="shared" si="6"/>
        <v>96455.86301369863</v>
      </c>
      <c r="K49" s="439"/>
      <c r="L49" s="439"/>
      <c r="M49" s="439"/>
      <c r="N49" s="265">
        <v>2030</v>
      </c>
      <c r="O49" s="266">
        <v>1000000</v>
      </c>
      <c r="P49" s="266">
        <f>K184</f>
        <v>965066.4383561644</v>
      </c>
    </row>
    <row r="50" spans="2:16" ht="15.75">
      <c r="B50" s="481">
        <v>44804</v>
      </c>
      <c r="C50" s="482">
        <f t="shared" si="1"/>
        <v>0.0589</v>
      </c>
      <c r="D50" s="483">
        <f t="shared" si="2"/>
        <v>0.0085</v>
      </c>
      <c r="E50" s="484">
        <f t="shared" si="0"/>
        <v>0.0674</v>
      </c>
      <c r="F50" s="485"/>
      <c r="G50" s="489"/>
      <c r="H50" s="485">
        <f t="shared" si="5"/>
        <v>16850000</v>
      </c>
      <c r="I50" s="493">
        <v>31</v>
      </c>
      <c r="J50" s="488">
        <f t="shared" si="6"/>
        <v>96455.86301369863</v>
      </c>
      <c r="K50" s="439"/>
      <c r="L50" s="439"/>
      <c r="M50" s="439"/>
      <c r="N50" s="265">
        <v>2031</v>
      </c>
      <c r="O50" s="266">
        <v>1000000</v>
      </c>
      <c r="P50" s="266">
        <f>K202</f>
        <v>897666.4383561645</v>
      </c>
    </row>
    <row r="51" spans="2:16" ht="15.75">
      <c r="B51" s="481">
        <v>44833</v>
      </c>
      <c r="C51" s="482">
        <f t="shared" si="1"/>
        <v>0.0589</v>
      </c>
      <c r="D51" s="483">
        <f t="shared" si="2"/>
        <v>0.0085</v>
      </c>
      <c r="E51" s="484">
        <f t="shared" si="0"/>
        <v>0.0674</v>
      </c>
      <c r="F51" s="485"/>
      <c r="G51" s="486"/>
      <c r="H51" s="485">
        <f t="shared" si="5"/>
        <v>16850000</v>
      </c>
      <c r="I51" s="487">
        <v>29</v>
      </c>
      <c r="J51" s="488">
        <f t="shared" si="6"/>
        <v>90232.90410958904</v>
      </c>
      <c r="K51" s="439"/>
      <c r="L51" s="439"/>
      <c r="M51" s="439"/>
      <c r="N51" s="265">
        <v>2032</v>
      </c>
      <c r="O51" s="266">
        <v>2000000</v>
      </c>
      <c r="P51" s="266">
        <f>K220</f>
        <v>806898.0273972601</v>
      </c>
    </row>
    <row r="52" spans="2:16" ht="15.75">
      <c r="B52" s="490">
        <v>44834</v>
      </c>
      <c r="C52" s="482">
        <f t="shared" si="1"/>
        <v>0.0589</v>
      </c>
      <c r="D52" s="483">
        <f t="shared" si="2"/>
        <v>0.0085</v>
      </c>
      <c r="E52" s="484">
        <f t="shared" si="0"/>
        <v>0.0674</v>
      </c>
      <c r="F52" s="485"/>
      <c r="G52" s="489"/>
      <c r="H52" s="485">
        <f t="shared" si="5"/>
        <v>16850000</v>
      </c>
      <c r="I52" s="487">
        <v>1</v>
      </c>
      <c r="J52" s="488">
        <f t="shared" si="6"/>
        <v>3111.4794520547944</v>
      </c>
      <c r="K52" s="439"/>
      <c r="L52" s="439"/>
      <c r="M52" s="439"/>
      <c r="N52" s="265">
        <v>2033</v>
      </c>
      <c r="O52" s="266">
        <v>2000000</v>
      </c>
      <c r="P52" s="266">
        <f>K238</f>
        <v>669752.8767123288</v>
      </c>
    </row>
    <row r="53" spans="2:16" ht="15.75">
      <c r="B53" s="491">
        <v>44865</v>
      </c>
      <c r="C53" s="482">
        <f t="shared" si="1"/>
        <v>0.0589</v>
      </c>
      <c r="D53" s="483">
        <f t="shared" si="2"/>
        <v>0.0085</v>
      </c>
      <c r="E53" s="484">
        <f t="shared" si="0"/>
        <v>0.0674</v>
      </c>
      <c r="F53" s="492"/>
      <c r="G53" s="489"/>
      <c r="H53" s="485">
        <f t="shared" si="5"/>
        <v>16850000</v>
      </c>
      <c r="I53" s="493">
        <v>31</v>
      </c>
      <c r="J53" s="488">
        <f t="shared" si="6"/>
        <v>96455.86301369863</v>
      </c>
      <c r="K53" s="460"/>
      <c r="L53" s="460"/>
      <c r="M53" s="460"/>
      <c r="N53" s="265">
        <v>2034</v>
      </c>
      <c r="O53" s="266">
        <v>2000000</v>
      </c>
      <c r="P53" s="266">
        <f>K256</f>
        <v>534952.8767123288</v>
      </c>
    </row>
    <row r="54" spans="2:16" ht="15.75">
      <c r="B54" s="494">
        <v>44895</v>
      </c>
      <c r="C54" s="482">
        <f t="shared" si="1"/>
        <v>0.0589</v>
      </c>
      <c r="D54" s="483">
        <f t="shared" si="2"/>
        <v>0.0085</v>
      </c>
      <c r="E54" s="484">
        <f t="shared" si="0"/>
        <v>0.0674</v>
      </c>
      <c r="F54" s="495"/>
      <c r="G54" s="496"/>
      <c r="H54" s="485">
        <f t="shared" si="5"/>
        <v>16850000</v>
      </c>
      <c r="I54" s="497">
        <v>30</v>
      </c>
      <c r="J54" s="488">
        <f t="shared" si="6"/>
        <v>93344.38356164383</v>
      </c>
      <c r="K54" s="429"/>
      <c r="L54" s="429"/>
      <c r="M54" s="429"/>
      <c r="N54" s="265">
        <v>2035</v>
      </c>
      <c r="O54" s="266">
        <v>1000000</v>
      </c>
      <c r="P54" s="266">
        <f>K274</f>
        <v>425866.4383561643</v>
      </c>
    </row>
    <row r="55" spans="2:16" ht="15.75">
      <c r="B55" s="494">
        <v>44924</v>
      </c>
      <c r="C55" s="482">
        <f t="shared" si="1"/>
        <v>0.0589</v>
      </c>
      <c r="D55" s="483">
        <f t="shared" si="2"/>
        <v>0.0085</v>
      </c>
      <c r="E55" s="484">
        <f t="shared" si="0"/>
        <v>0.0674</v>
      </c>
      <c r="F55" s="498"/>
      <c r="G55" s="499"/>
      <c r="H55" s="485">
        <f t="shared" si="5"/>
        <v>16850000</v>
      </c>
      <c r="I55" s="493">
        <v>29</v>
      </c>
      <c r="J55" s="488">
        <f t="shared" si="6"/>
        <v>90232.90410958904</v>
      </c>
      <c r="K55" s="429"/>
      <c r="L55" s="429"/>
      <c r="M55" s="429"/>
      <c r="N55" s="265">
        <v>2036</v>
      </c>
      <c r="O55" s="266">
        <v>1000000</v>
      </c>
      <c r="P55" s="266">
        <f>K292</f>
        <v>359518.9863013698</v>
      </c>
    </row>
    <row r="56" spans="2:16" ht="15.75">
      <c r="B56" s="500">
        <v>44925</v>
      </c>
      <c r="C56" s="482">
        <f t="shared" si="1"/>
        <v>0.0589</v>
      </c>
      <c r="D56" s="483">
        <f t="shared" si="2"/>
        <v>0.0085</v>
      </c>
      <c r="E56" s="484">
        <f t="shared" si="0"/>
        <v>0.0674</v>
      </c>
      <c r="F56" s="498"/>
      <c r="G56" s="489"/>
      <c r="H56" s="485">
        <f t="shared" si="5"/>
        <v>16850000</v>
      </c>
      <c r="I56" s="493">
        <v>1</v>
      </c>
      <c r="J56" s="488">
        <f t="shared" si="6"/>
        <v>3111.4794520547944</v>
      </c>
      <c r="K56" s="429"/>
      <c r="L56" s="429"/>
      <c r="M56" s="429"/>
      <c r="N56" s="265">
        <v>2037</v>
      </c>
      <c r="O56" s="266">
        <v>1000000</v>
      </c>
      <c r="P56" s="266">
        <f>K310</f>
        <v>291066.43835616444</v>
      </c>
    </row>
    <row r="57" spans="2:16" ht="15.75">
      <c r="B57" s="430">
        <v>44926</v>
      </c>
      <c r="C57" s="501">
        <f t="shared" si="1"/>
        <v>0.0589</v>
      </c>
      <c r="D57" s="502">
        <f t="shared" si="2"/>
        <v>0.0085</v>
      </c>
      <c r="E57" s="503">
        <f t="shared" si="0"/>
        <v>0.0674</v>
      </c>
      <c r="F57" s="434"/>
      <c r="G57" s="435"/>
      <c r="H57" s="504">
        <f t="shared" si="5"/>
        <v>16850000</v>
      </c>
      <c r="I57" s="436">
        <v>1</v>
      </c>
      <c r="J57" s="505">
        <f t="shared" si="6"/>
        <v>3111.4794520547944</v>
      </c>
      <c r="K57" s="429"/>
      <c r="L57" s="429"/>
      <c r="M57" s="429"/>
      <c r="N57" s="265">
        <v>2038</v>
      </c>
      <c r="O57" s="266">
        <v>1000000</v>
      </c>
      <c r="P57" s="266">
        <f>K328</f>
        <v>223666.43835616435</v>
      </c>
    </row>
    <row r="58" spans="2:16" ht="15.75">
      <c r="B58" s="440">
        <v>44957</v>
      </c>
      <c r="C58" s="441">
        <f t="shared" si="1"/>
        <v>0.0589</v>
      </c>
      <c r="D58" s="442">
        <f t="shared" si="2"/>
        <v>0.0085</v>
      </c>
      <c r="E58" s="443">
        <f t="shared" si="0"/>
        <v>0.0674</v>
      </c>
      <c r="F58" s="444"/>
      <c r="G58" s="506"/>
      <c r="H58" s="444">
        <f t="shared" si="5"/>
        <v>16850000</v>
      </c>
      <c r="I58" s="446">
        <v>31</v>
      </c>
      <c r="J58" s="785">
        <v>112802.67</v>
      </c>
      <c r="K58" s="507">
        <f>SUM(J58:J75)</f>
        <v>1294620.355068493</v>
      </c>
      <c r="L58" s="438">
        <f>SUM(G58:G75)</f>
        <v>100000</v>
      </c>
      <c r="M58" s="439"/>
      <c r="N58" s="265">
        <v>2039</v>
      </c>
      <c r="O58" s="266">
        <v>1000000</v>
      </c>
      <c r="P58" s="266">
        <f>K346</f>
        <v>156266.43835616438</v>
      </c>
    </row>
    <row r="59" spans="2:16" ht="15.75">
      <c r="B59" s="448">
        <v>44985</v>
      </c>
      <c r="C59" s="449">
        <f t="shared" si="1"/>
        <v>0.0589</v>
      </c>
      <c r="D59" s="450">
        <f t="shared" si="2"/>
        <v>0.0085</v>
      </c>
      <c r="E59" s="451">
        <f t="shared" si="0"/>
        <v>0.0674</v>
      </c>
      <c r="F59" s="452"/>
      <c r="G59" s="459"/>
      <c r="H59" s="452">
        <f t="shared" si="5"/>
        <v>16850000</v>
      </c>
      <c r="I59" s="454">
        <v>28</v>
      </c>
      <c r="J59" s="786">
        <v>105360.97</v>
      </c>
      <c r="K59" s="438"/>
      <c r="L59" s="439"/>
      <c r="M59" s="439"/>
      <c r="N59" s="265">
        <v>2040</v>
      </c>
      <c r="O59" s="266">
        <v>1000000</v>
      </c>
      <c r="P59" s="266">
        <f>K364</f>
        <v>89180.35616438354</v>
      </c>
    </row>
    <row r="60" spans="2:16" ht="15.75">
      <c r="B60" s="448">
        <v>45014</v>
      </c>
      <c r="C60" s="449">
        <f t="shared" si="1"/>
        <v>0.0589</v>
      </c>
      <c r="D60" s="450">
        <f t="shared" si="2"/>
        <v>0.0085</v>
      </c>
      <c r="E60" s="451">
        <f t="shared" si="0"/>
        <v>0.0674</v>
      </c>
      <c r="F60" s="452"/>
      <c r="G60" s="459"/>
      <c r="H60" s="452">
        <f t="shared" si="5"/>
        <v>16850000</v>
      </c>
      <c r="I60" s="454">
        <v>29</v>
      </c>
      <c r="J60" s="786">
        <v>108994.11</v>
      </c>
      <c r="K60" s="439"/>
      <c r="L60" s="439"/>
      <c r="M60" s="439"/>
      <c r="N60" s="265">
        <v>2041</v>
      </c>
      <c r="O60" s="266">
        <v>700000</v>
      </c>
      <c r="P60" s="266">
        <f>K382</f>
        <v>22417.424657534248</v>
      </c>
    </row>
    <row r="61" spans="2:16" ht="15.75">
      <c r="B61" s="458">
        <v>45015</v>
      </c>
      <c r="C61" s="449">
        <f t="shared" si="1"/>
        <v>0.0589</v>
      </c>
      <c r="D61" s="450">
        <f t="shared" si="2"/>
        <v>0.0085</v>
      </c>
      <c r="E61" s="451">
        <f t="shared" si="0"/>
        <v>0.0674</v>
      </c>
      <c r="F61" s="452"/>
      <c r="G61" s="459">
        <v>100000</v>
      </c>
      <c r="H61" s="452">
        <f t="shared" si="5"/>
        <v>16750000</v>
      </c>
      <c r="I61" s="454">
        <v>1</v>
      </c>
      <c r="J61" s="455">
        <f t="shared" si="6"/>
        <v>3093.013698630137</v>
      </c>
      <c r="K61" s="439"/>
      <c r="L61" s="439"/>
      <c r="M61" s="439"/>
      <c r="N61" s="265" t="s">
        <v>42</v>
      </c>
      <c r="O61" s="306">
        <f>SUM(O40:O60)</f>
        <v>16900000</v>
      </c>
      <c r="P61" s="306">
        <f>SUM(P42:P60)</f>
        <v>13252223.044266792</v>
      </c>
    </row>
    <row r="62" spans="2:14" ht="15.75">
      <c r="B62" s="448">
        <v>45016</v>
      </c>
      <c r="C62" s="449">
        <f t="shared" si="1"/>
        <v>0.0589</v>
      </c>
      <c r="D62" s="450">
        <f t="shared" si="2"/>
        <v>0.0085</v>
      </c>
      <c r="E62" s="451">
        <f t="shared" si="0"/>
        <v>0.0674</v>
      </c>
      <c r="F62" s="452"/>
      <c r="G62" s="459"/>
      <c r="H62" s="452">
        <f t="shared" si="5"/>
        <v>16750000</v>
      </c>
      <c r="I62" s="454">
        <v>1</v>
      </c>
      <c r="J62" s="455">
        <f t="shared" si="6"/>
        <v>3093.013698630137</v>
      </c>
      <c r="K62" s="439"/>
      <c r="L62" s="439"/>
      <c r="M62" s="439"/>
      <c r="N62" s="457"/>
    </row>
    <row r="63" spans="2:14" ht="15.75">
      <c r="B63" s="448">
        <v>45046</v>
      </c>
      <c r="C63" s="449">
        <f t="shared" si="1"/>
        <v>0.0589</v>
      </c>
      <c r="D63" s="450">
        <f t="shared" si="2"/>
        <v>0.0085</v>
      </c>
      <c r="E63" s="451">
        <f t="shared" si="0"/>
        <v>0.0674</v>
      </c>
      <c r="F63" s="452"/>
      <c r="G63" s="459"/>
      <c r="H63" s="452">
        <f t="shared" si="5"/>
        <v>16750000</v>
      </c>
      <c r="I63" s="454">
        <v>30</v>
      </c>
      <c r="J63" s="786">
        <v>103124.93</v>
      </c>
      <c r="K63" s="439"/>
      <c r="L63" s="439"/>
      <c r="M63" s="439"/>
      <c r="N63" s="457"/>
    </row>
    <row r="64" spans="2:14" ht="15.75">
      <c r="B64" s="461">
        <v>45077</v>
      </c>
      <c r="C64" s="449">
        <f t="shared" si="1"/>
        <v>0.0589</v>
      </c>
      <c r="D64" s="450">
        <f t="shared" si="2"/>
        <v>0.0085</v>
      </c>
      <c r="E64" s="451">
        <f t="shared" si="0"/>
        <v>0.0674</v>
      </c>
      <c r="F64" s="462"/>
      <c r="G64" s="459"/>
      <c r="H64" s="452">
        <f t="shared" si="5"/>
        <v>16750000</v>
      </c>
      <c r="I64" s="454">
        <v>31</v>
      </c>
      <c r="J64" s="786">
        <v>133661.37</v>
      </c>
      <c r="K64" s="460"/>
      <c r="L64" s="460"/>
      <c r="M64" s="460"/>
      <c r="N64" s="460"/>
    </row>
    <row r="65" spans="2:14" ht="15.75">
      <c r="B65" s="461">
        <v>45106</v>
      </c>
      <c r="C65" s="449">
        <f t="shared" si="1"/>
        <v>0.0589</v>
      </c>
      <c r="D65" s="450">
        <f t="shared" si="2"/>
        <v>0.0085</v>
      </c>
      <c r="E65" s="451">
        <f t="shared" si="0"/>
        <v>0.0674</v>
      </c>
      <c r="F65" s="452"/>
      <c r="G65" s="459"/>
      <c r="H65" s="452">
        <f t="shared" si="5"/>
        <v>16750000</v>
      </c>
      <c r="I65" s="508">
        <v>29</v>
      </c>
      <c r="J65" s="786">
        <v>110109.45</v>
      </c>
      <c r="K65" s="439"/>
      <c r="L65" s="439"/>
      <c r="M65" s="439"/>
      <c r="N65" s="439"/>
    </row>
    <row r="66" spans="2:14" ht="15.75">
      <c r="B66" s="458">
        <v>45107</v>
      </c>
      <c r="C66" s="449">
        <f t="shared" si="1"/>
        <v>0.0589</v>
      </c>
      <c r="D66" s="450">
        <f t="shared" si="2"/>
        <v>0.0085</v>
      </c>
      <c r="E66" s="451">
        <f t="shared" si="0"/>
        <v>0.0674</v>
      </c>
      <c r="F66" s="452"/>
      <c r="G66" s="459"/>
      <c r="H66" s="452">
        <f t="shared" si="5"/>
        <v>16750000</v>
      </c>
      <c r="I66" s="454">
        <v>1</v>
      </c>
      <c r="J66" s="455">
        <f t="shared" si="6"/>
        <v>3093.013698630137</v>
      </c>
      <c r="K66" s="439"/>
      <c r="L66" s="439"/>
      <c r="M66" s="439"/>
      <c r="N66" s="439"/>
    </row>
    <row r="67" spans="2:14" ht="15.75">
      <c r="B67" s="448">
        <v>45138</v>
      </c>
      <c r="C67" s="449">
        <f t="shared" si="1"/>
        <v>0.0589</v>
      </c>
      <c r="D67" s="450">
        <f t="shared" si="2"/>
        <v>0.0085</v>
      </c>
      <c r="E67" s="451">
        <f t="shared" si="0"/>
        <v>0.0674</v>
      </c>
      <c r="F67" s="452"/>
      <c r="G67" s="459"/>
      <c r="H67" s="452">
        <f t="shared" si="5"/>
        <v>16750000</v>
      </c>
      <c r="I67" s="454">
        <v>31</v>
      </c>
      <c r="J67" s="786">
        <v>99577.6</v>
      </c>
      <c r="K67" s="439"/>
      <c r="L67" s="439"/>
      <c r="M67" s="439"/>
      <c r="N67" s="439"/>
    </row>
    <row r="68" spans="2:14" ht="15.75">
      <c r="B68" s="448">
        <v>45169</v>
      </c>
      <c r="C68" s="449">
        <f t="shared" si="1"/>
        <v>0.0589</v>
      </c>
      <c r="D68" s="450">
        <f t="shared" si="2"/>
        <v>0.0085</v>
      </c>
      <c r="E68" s="451">
        <f t="shared" si="0"/>
        <v>0.0674</v>
      </c>
      <c r="F68" s="452"/>
      <c r="G68" s="459"/>
      <c r="H68" s="452">
        <f t="shared" si="5"/>
        <v>16750000</v>
      </c>
      <c r="I68" s="508">
        <v>31</v>
      </c>
      <c r="J68" s="786">
        <v>117364.73</v>
      </c>
      <c r="K68" s="439"/>
      <c r="L68" s="439"/>
      <c r="M68" s="439"/>
      <c r="N68" s="439"/>
    </row>
    <row r="69" spans="2:14" ht="15.75">
      <c r="B69" s="448">
        <v>45198</v>
      </c>
      <c r="C69" s="449">
        <f t="shared" si="1"/>
        <v>0.0589</v>
      </c>
      <c r="D69" s="450">
        <f t="shared" si="2"/>
        <v>0.0085</v>
      </c>
      <c r="E69" s="451">
        <f t="shared" si="0"/>
        <v>0.0674</v>
      </c>
      <c r="F69" s="452"/>
      <c r="G69" s="459"/>
      <c r="H69" s="452">
        <f t="shared" si="5"/>
        <v>16750000</v>
      </c>
      <c r="I69" s="454">
        <v>29</v>
      </c>
      <c r="J69" s="786">
        <v>106695.21</v>
      </c>
      <c r="K69" s="439"/>
      <c r="L69" s="439"/>
      <c r="M69" s="439"/>
      <c r="N69" s="439"/>
    </row>
    <row r="70" spans="2:16" ht="15.75">
      <c r="B70" s="458">
        <v>45199</v>
      </c>
      <c r="C70" s="449">
        <f t="shared" si="1"/>
        <v>0.0589</v>
      </c>
      <c r="D70" s="450">
        <f t="shared" si="2"/>
        <v>0.0085</v>
      </c>
      <c r="E70" s="451">
        <f t="shared" si="0"/>
        <v>0.0674</v>
      </c>
      <c r="F70" s="462"/>
      <c r="G70" s="459"/>
      <c r="H70" s="452">
        <f t="shared" si="5"/>
        <v>16750000</v>
      </c>
      <c r="I70" s="454">
        <v>1</v>
      </c>
      <c r="J70" s="455">
        <f t="shared" si="6"/>
        <v>3093.013698630137</v>
      </c>
      <c r="K70" s="460"/>
      <c r="L70" s="460"/>
      <c r="M70" s="460"/>
      <c r="N70" s="509"/>
      <c r="O70" s="510"/>
      <c r="P70" s="510"/>
    </row>
    <row r="71" spans="2:16" ht="15.75">
      <c r="B71" s="461">
        <v>45230</v>
      </c>
      <c r="C71" s="449">
        <f t="shared" si="1"/>
        <v>0.0589</v>
      </c>
      <c r="D71" s="450">
        <f t="shared" si="2"/>
        <v>0.0085</v>
      </c>
      <c r="E71" s="451">
        <f t="shared" si="0"/>
        <v>0.0674</v>
      </c>
      <c r="F71" s="511"/>
      <c r="G71" s="512"/>
      <c r="H71" s="452">
        <f t="shared" si="5"/>
        <v>16750000</v>
      </c>
      <c r="I71" s="508">
        <v>31</v>
      </c>
      <c r="J71" s="455">
        <f t="shared" si="6"/>
        <v>95883.42465753424</v>
      </c>
      <c r="K71" s="439"/>
      <c r="L71" s="439"/>
      <c r="M71" s="439"/>
      <c r="N71" s="513"/>
      <c r="O71" s="513"/>
      <c r="P71" s="513"/>
    </row>
    <row r="72" spans="2:16" ht="15.75">
      <c r="B72" s="463">
        <v>45260</v>
      </c>
      <c r="C72" s="449">
        <f t="shared" si="1"/>
        <v>0.0589</v>
      </c>
      <c r="D72" s="450">
        <f t="shared" si="2"/>
        <v>0.0085</v>
      </c>
      <c r="E72" s="451">
        <f t="shared" si="0"/>
        <v>0.0674</v>
      </c>
      <c r="F72" s="452"/>
      <c r="G72" s="459"/>
      <c r="H72" s="452">
        <f t="shared" si="5"/>
        <v>16750000</v>
      </c>
      <c r="I72" s="514">
        <v>30</v>
      </c>
      <c r="J72" s="455">
        <f t="shared" si="6"/>
        <v>92790.4109589041</v>
      </c>
      <c r="K72" s="439"/>
      <c r="L72" s="439"/>
      <c r="M72" s="439"/>
      <c r="N72" s="515"/>
      <c r="O72" s="516"/>
      <c r="P72" s="516"/>
    </row>
    <row r="73" spans="2:16" ht="15.75">
      <c r="B73" s="463">
        <v>45289</v>
      </c>
      <c r="C73" s="449">
        <f t="shared" si="1"/>
        <v>0.0589</v>
      </c>
      <c r="D73" s="450">
        <f t="shared" si="2"/>
        <v>0.0085</v>
      </c>
      <c r="E73" s="451">
        <f t="shared" si="0"/>
        <v>0.0674</v>
      </c>
      <c r="F73" s="452"/>
      <c r="G73" s="459"/>
      <c r="H73" s="452">
        <f t="shared" si="5"/>
        <v>16750000</v>
      </c>
      <c r="I73" s="508">
        <v>29</v>
      </c>
      <c r="J73" s="455">
        <f t="shared" si="6"/>
        <v>89697.39726027397</v>
      </c>
      <c r="K73" s="438"/>
      <c r="L73" s="439"/>
      <c r="M73" s="439"/>
      <c r="N73" s="515"/>
      <c r="O73" s="516"/>
      <c r="P73" s="516"/>
    </row>
    <row r="74" spans="2:16" ht="15.75">
      <c r="B74" s="468">
        <v>45290</v>
      </c>
      <c r="C74" s="449">
        <f t="shared" si="1"/>
        <v>0.0589</v>
      </c>
      <c r="D74" s="450">
        <f t="shared" si="2"/>
        <v>0.0085</v>
      </c>
      <c r="E74" s="451">
        <f t="shared" si="0"/>
        <v>0.0674</v>
      </c>
      <c r="F74" s="452"/>
      <c r="G74" s="459"/>
      <c r="H74" s="452">
        <f t="shared" si="5"/>
        <v>16750000</v>
      </c>
      <c r="I74" s="508">
        <v>1</v>
      </c>
      <c r="J74" s="455">
        <f t="shared" si="6"/>
        <v>3093.013698630137</v>
      </c>
      <c r="K74" s="439"/>
      <c r="L74" s="439"/>
      <c r="M74" s="439"/>
      <c r="N74" s="515"/>
      <c r="O74" s="516"/>
      <c r="P74" s="516"/>
    </row>
    <row r="75" spans="2:16" ht="15.75">
      <c r="B75" s="517">
        <v>45291</v>
      </c>
      <c r="C75" s="518">
        <f t="shared" si="1"/>
        <v>0.0589</v>
      </c>
      <c r="D75" s="519">
        <f t="shared" si="2"/>
        <v>0.0085</v>
      </c>
      <c r="E75" s="520">
        <f t="shared" si="0"/>
        <v>0.0674</v>
      </c>
      <c r="F75" s="521"/>
      <c r="G75" s="522"/>
      <c r="H75" s="521">
        <f t="shared" si="5"/>
        <v>16750000</v>
      </c>
      <c r="I75" s="523">
        <v>1</v>
      </c>
      <c r="J75" s="524">
        <f t="shared" si="6"/>
        <v>3093.013698630137</v>
      </c>
      <c r="K75" s="439"/>
      <c r="L75" s="439"/>
      <c r="M75" s="439"/>
      <c r="N75" s="515"/>
      <c r="O75" s="516"/>
      <c r="P75" s="516"/>
    </row>
    <row r="76" spans="2:16" ht="15.75">
      <c r="B76" s="525">
        <v>45322</v>
      </c>
      <c r="C76" s="526">
        <f t="shared" si="1"/>
        <v>0.0589</v>
      </c>
      <c r="D76" s="422">
        <f t="shared" si="2"/>
        <v>0.0085</v>
      </c>
      <c r="E76" s="423">
        <f t="shared" si="0"/>
        <v>0.0674</v>
      </c>
      <c r="F76" s="426"/>
      <c r="G76" s="425"/>
      <c r="H76" s="426">
        <f t="shared" si="5"/>
        <v>16750000</v>
      </c>
      <c r="I76" s="427">
        <v>31</v>
      </c>
      <c r="J76" s="428">
        <f aca="true" t="shared" si="7" ref="J76:J93">H76*E76*I76/366</f>
        <v>95621.4480874317</v>
      </c>
      <c r="K76" s="438">
        <f>SUM(J76:J93)</f>
        <v>1121298.442622951</v>
      </c>
      <c r="L76" s="438">
        <f>SUM(G76:G93)</f>
        <v>150000</v>
      </c>
      <c r="M76" s="439"/>
      <c r="N76" s="515"/>
      <c r="O76" s="516"/>
      <c r="P76" s="516"/>
    </row>
    <row r="77" spans="2:16" ht="15.75">
      <c r="B77" s="527">
        <v>45351</v>
      </c>
      <c r="C77" s="528">
        <f t="shared" si="1"/>
        <v>0.0589</v>
      </c>
      <c r="D77" s="483">
        <f t="shared" si="2"/>
        <v>0.0085</v>
      </c>
      <c r="E77" s="484">
        <f t="shared" si="0"/>
        <v>0.0674</v>
      </c>
      <c r="F77" s="485"/>
      <c r="G77" s="489"/>
      <c r="H77" s="485">
        <f t="shared" si="5"/>
        <v>16750000</v>
      </c>
      <c r="I77" s="487">
        <v>29</v>
      </c>
      <c r="J77" s="488">
        <f t="shared" si="7"/>
        <v>89452.32240437159</v>
      </c>
      <c r="K77" s="439"/>
      <c r="L77" s="439"/>
      <c r="M77" s="439"/>
      <c r="N77" s="515"/>
      <c r="O77" s="516"/>
      <c r="P77" s="516"/>
    </row>
    <row r="78" spans="2:16" ht="15.75">
      <c r="B78" s="527">
        <v>45380</v>
      </c>
      <c r="C78" s="528">
        <f t="shared" si="1"/>
        <v>0.0589</v>
      </c>
      <c r="D78" s="483">
        <f t="shared" si="2"/>
        <v>0.0085</v>
      </c>
      <c r="E78" s="484">
        <f t="shared" si="0"/>
        <v>0.0674</v>
      </c>
      <c r="F78" s="492"/>
      <c r="G78" s="489"/>
      <c r="H78" s="485">
        <f t="shared" si="5"/>
        <v>16750000</v>
      </c>
      <c r="I78" s="487">
        <v>29</v>
      </c>
      <c r="J78" s="488">
        <f t="shared" si="7"/>
        <v>89452.32240437159</v>
      </c>
      <c r="K78" s="460"/>
      <c r="L78" s="460"/>
      <c r="M78" s="460"/>
      <c r="N78" s="515"/>
      <c r="O78" s="516"/>
      <c r="P78" s="516"/>
    </row>
    <row r="79" spans="2:16" ht="15.75">
      <c r="B79" s="529">
        <v>45381</v>
      </c>
      <c r="C79" s="528">
        <f t="shared" si="1"/>
        <v>0.0589</v>
      </c>
      <c r="D79" s="483">
        <f t="shared" si="2"/>
        <v>0.0085</v>
      </c>
      <c r="E79" s="484">
        <f t="shared" si="0"/>
        <v>0.0674</v>
      </c>
      <c r="F79" s="485"/>
      <c r="G79" s="489">
        <v>150000</v>
      </c>
      <c r="H79" s="485">
        <f t="shared" si="5"/>
        <v>16600000</v>
      </c>
      <c r="I79" s="487">
        <v>1</v>
      </c>
      <c r="J79" s="488">
        <f t="shared" si="7"/>
        <v>3056.9398907103823</v>
      </c>
      <c r="K79" s="439"/>
      <c r="L79" s="439"/>
      <c r="M79" s="439"/>
      <c r="N79" s="515"/>
      <c r="O79" s="516"/>
      <c r="P79" s="516"/>
    </row>
    <row r="80" spans="2:16" ht="15.75">
      <c r="B80" s="527">
        <v>45382</v>
      </c>
      <c r="C80" s="528">
        <f t="shared" si="1"/>
        <v>0.0589</v>
      </c>
      <c r="D80" s="483">
        <f t="shared" si="2"/>
        <v>0.0085</v>
      </c>
      <c r="E80" s="484">
        <f t="shared" si="0"/>
        <v>0.0674</v>
      </c>
      <c r="F80" s="485"/>
      <c r="G80" s="489"/>
      <c r="H80" s="485">
        <f t="shared" si="5"/>
        <v>16600000</v>
      </c>
      <c r="I80" s="487">
        <v>1</v>
      </c>
      <c r="J80" s="488">
        <f t="shared" si="7"/>
        <v>3056.9398907103823</v>
      </c>
      <c r="K80" s="439"/>
      <c r="L80" s="439"/>
      <c r="M80" s="439"/>
      <c r="N80" s="515"/>
      <c r="O80" s="516"/>
      <c r="P80" s="516"/>
    </row>
    <row r="81" spans="2:16" ht="15.75">
      <c r="B81" s="527">
        <v>45412</v>
      </c>
      <c r="C81" s="528">
        <f t="shared" si="1"/>
        <v>0.0589</v>
      </c>
      <c r="D81" s="483">
        <f t="shared" si="2"/>
        <v>0.0085</v>
      </c>
      <c r="E81" s="484">
        <f t="shared" si="0"/>
        <v>0.0674</v>
      </c>
      <c r="F81" s="485"/>
      <c r="G81" s="489"/>
      <c r="H81" s="485">
        <f t="shared" si="5"/>
        <v>16600000</v>
      </c>
      <c r="I81" s="487">
        <v>30</v>
      </c>
      <c r="J81" s="488">
        <f t="shared" si="7"/>
        <v>91708.19672131147</v>
      </c>
      <c r="K81" s="439"/>
      <c r="L81" s="439"/>
      <c r="M81" s="439"/>
      <c r="N81" s="515"/>
      <c r="O81" s="516"/>
      <c r="P81" s="516"/>
    </row>
    <row r="82" spans="2:16" ht="15.75">
      <c r="B82" s="530">
        <v>45443</v>
      </c>
      <c r="C82" s="528">
        <f t="shared" si="1"/>
        <v>0.0589</v>
      </c>
      <c r="D82" s="483">
        <f t="shared" si="2"/>
        <v>0.0085</v>
      </c>
      <c r="E82" s="484">
        <f t="shared" si="0"/>
        <v>0.0674</v>
      </c>
      <c r="F82" s="485"/>
      <c r="G82" s="489"/>
      <c r="H82" s="485">
        <f t="shared" si="5"/>
        <v>16600000</v>
      </c>
      <c r="I82" s="487">
        <v>31</v>
      </c>
      <c r="J82" s="488">
        <f t="shared" si="7"/>
        <v>94765.13661202186</v>
      </c>
      <c r="K82" s="439"/>
      <c r="L82" s="439"/>
      <c r="M82" s="439"/>
      <c r="N82" s="515"/>
      <c r="O82" s="516"/>
      <c r="P82" s="516"/>
    </row>
    <row r="83" spans="2:16" ht="15.75">
      <c r="B83" s="530">
        <v>45472</v>
      </c>
      <c r="C83" s="528">
        <f t="shared" si="1"/>
        <v>0.0589</v>
      </c>
      <c r="D83" s="483">
        <f t="shared" si="2"/>
        <v>0.0085</v>
      </c>
      <c r="E83" s="484">
        <f t="shared" si="0"/>
        <v>0.0674</v>
      </c>
      <c r="F83" s="485"/>
      <c r="G83" s="489"/>
      <c r="H83" s="485">
        <f t="shared" si="5"/>
        <v>16600000</v>
      </c>
      <c r="I83" s="493">
        <v>29</v>
      </c>
      <c r="J83" s="488">
        <f t="shared" si="7"/>
        <v>88651.2568306011</v>
      </c>
      <c r="K83" s="439"/>
      <c r="L83" s="439"/>
      <c r="M83" s="439"/>
      <c r="N83" s="515"/>
      <c r="O83" s="516"/>
      <c r="P83" s="516"/>
    </row>
    <row r="84" spans="2:16" ht="15.75">
      <c r="B84" s="529">
        <v>45473</v>
      </c>
      <c r="C84" s="528">
        <f t="shared" si="1"/>
        <v>0.0589</v>
      </c>
      <c r="D84" s="483">
        <f t="shared" si="2"/>
        <v>0.0085</v>
      </c>
      <c r="E84" s="484">
        <f aca="true" t="shared" si="8" ref="E84:E147">C84+D84</f>
        <v>0.0674</v>
      </c>
      <c r="F84" s="492"/>
      <c r="G84" s="489"/>
      <c r="H84" s="485">
        <f t="shared" si="5"/>
        <v>16600000</v>
      </c>
      <c r="I84" s="487">
        <v>1</v>
      </c>
      <c r="J84" s="488">
        <f t="shared" si="7"/>
        <v>3056.9398907103823</v>
      </c>
      <c r="K84" s="460"/>
      <c r="L84" s="460"/>
      <c r="M84" s="460"/>
      <c r="N84" s="515"/>
      <c r="O84" s="516"/>
      <c r="P84" s="516"/>
    </row>
    <row r="85" spans="2:16" ht="15.75">
      <c r="B85" s="527">
        <v>45504</v>
      </c>
      <c r="C85" s="528">
        <f aca="true" t="shared" si="9" ref="C85:C148">C84</f>
        <v>0.0589</v>
      </c>
      <c r="D85" s="483">
        <f aca="true" t="shared" si="10" ref="D85:D148">D84</f>
        <v>0.0085</v>
      </c>
      <c r="E85" s="484">
        <f t="shared" si="8"/>
        <v>0.0674</v>
      </c>
      <c r="F85" s="498"/>
      <c r="G85" s="531"/>
      <c r="H85" s="485">
        <f t="shared" si="5"/>
        <v>16600000</v>
      </c>
      <c r="I85" s="487">
        <v>31</v>
      </c>
      <c r="J85" s="488">
        <f t="shared" si="7"/>
        <v>94765.13661202186</v>
      </c>
      <c r="K85" s="439"/>
      <c r="L85" s="439"/>
      <c r="M85" s="439"/>
      <c r="N85" s="515"/>
      <c r="O85" s="516"/>
      <c r="P85" s="516"/>
    </row>
    <row r="86" spans="2:16" ht="15.75">
      <c r="B86" s="527">
        <v>45535</v>
      </c>
      <c r="C86" s="528">
        <f t="shared" si="9"/>
        <v>0.0589</v>
      </c>
      <c r="D86" s="483">
        <f t="shared" si="10"/>
        <v>0.0085</v>
      </c>
      <c r="E86" s="484">
        <f t="shared" si="8"/>
        <v>0.0674</v>
      </c>
      <c r="F86" s="485"/>
      <c r="G86" s="489"/>
      <c r="H86" s="485">
        <f t="shared" si="5"/>
        <v>16600000</v>
      </c>
      <c r="I86" s="493">
        <v>31</v>
      </c>
      <c r="J86" s="488">
        <f t="shared" si="7"/>
        <v>94765.13661202186</v>
      </c>
      <c r="K86" s="439"/>
      <c r="L86" s="439"/>
      <c r="M86" s="439"/>
      <c r="N86" s="515"/>
      <c r="O86" s="516"/>
      <c r="P86" s="516"/>
    </row>
    <row r="87" spans="2:16" ht="15.75">
      <c r="B87" s="527">
        <v>45564</v>
      </c>
      <c r="C87" s="528">
        <f t="shared" si="9"/>
        <v>0.0589</v>
      </c>
      <c r="D87" s="483">
        <f t="shared" si="10"/>
        <v>0.0085</v>
      </c>
      <c r="E87" s="484">
        <f t="shared" si="8"/>
        <v>0.0674</v>
      </c>
      <c r="F87" s="485"/>
      <c r="G87" s="489"/>
      <c r="H87" s="485">
        <f t="shared" si="5"/>
        <v>16600000</v>
      </c>
      <c r="I87" s="487">
        <v>29</v>
      </c>
      <c r="J87" s="488">
        <f t="shared" si="7"/>
        <v>88651.2568306011</v>
      </c>
      <c r="K87" s="438"/>
      <c r="L87" s="439"/>
      <c r="M87" s="439"/>
      <c r="N87" s="515"/>
      <c r="O87" s="516"/>
      <c r="P87" s="516"/>
    </row>
    <row r="88" spans="2:16" ht="15.75">
      <c r="B88" s="529">
        <v>45565</v>
      </c>
      <c r="C88" s="528">
        <f t="shared" si="9"/>
        <v>0.0589</v>
      </c>
      <c r="D88" s="483">
        <f t="shared" si="10"/>
        <v>0.0085</v>
      </c>
      <c r="E88" s="484">
        <f t="shared" si="8"/>
        <v>0.0674</v>
      </c>
      <c r="F88" s="485"/>
      <c r="G88" s="489"/>
      <c r="H88" s="485">
        <f t="shared" si="5"/>
        <v>16600000</v>
      </c>
      <c r="I88" s="487">
        <v>1</v>
      </c>
      <c r="J88" s="488">
        <f t="shared" si="7"/>
        <v>3056.9398907103823</v>
      </c>
      <c r="K88" s="439"/>
      <c r="L88" s="439"/>
      <c r="M88" s="439"/>
      <c r="N88" s="515"/>
      <c r="O88" s="516"/>
      <c r="P88" s="516"/>
    </row>
    <row r="89" spans="2:16" ht="15.75">
      <c r="B89" s="530">
        <v>45596</v>
      </c>
      <c r="C89" s="528">
        <f t="shared" si="9"/>
        <v>0.0589</v>
      </c>
      <c r="D89" s="483">
        <f t="shared" si="10"/>
        <v>0.0085</v>
      </c>
      <c r="E89" s="484">
        <f t="shared" si="8"/>
        <v>0.0674</v>
      </c>
      <c r="F89" s="485"/>
      <c r="G89" s="489"/>
      <c r="H89" s="485">
        <f t="shared" si="5"/>
        <v>16600000</v>
      </c>
      <c r="I89" s="493">
        <v>31</v>
      </c>
      <c r="J89" s="488">
        <f t="shared" si="7"/>
        <v>94765.13661202186</v>
      </c>
      <c r="K89" s="439"/>
      <c r="L89" s="439"/>
      <c r="M89" s="439"/>
      <c r="N89" s="515"/>
      <c r="O89" s="516"/>
      <c r="P89" s="516"/>
    </row>
    <row r="90" spans="2:16" ht="15.75">
      <c r="B90" s="530">
        <v>45626</v>
      </c>
      <c r="C90" s="528">
        <f t="shared" si="9"/>
        <v>0.0589</v>
      </c>
      <c r="D90" s="483">
        <f t="shared" si="10"/>
        <v>0.0085</v>
      </c>
      <c r="E90" s="484">
        <f t="shared" si="8"/>
        <v>0.0674</v>
      </c>
      <c r="F90" s="485"/>
      <c r="G90" s="489"/>
      <c r="H90" s="485">
        <f t="shared" si="5"/>
        <v>16600000</v>
      </c>
      <c r="I90" s="493">
        <v>30</v>
      </c>
      <c r="J90" s="488">
        <f t="shared" si="7"/>
        <v>91708.19672131147</v>
      </c>
      <c r="K90" s="439"/>
      <c r="L90" s="439"/>
      <c r="M90" s="439"/>
      <c r="N90" s="515"/>
      <c r="O90" s="516"/>
      <c r="P90" s="516"/>
    </row>
    <row r="91" spans="2:16" ht="15.75">
      <c r="B91" s="530">
        <v>45655</v>
      </c>
      <c r="C91" s="528">
        <f t="shared" si="9"/>
        <v>0.0589</v>
      </c>
      <c r="D91" s="483">
        <f t="shared" si="10"/>
        <v>0.0085</v>
      </c>
      <c r="E91" s="484">
        <f t="shared" si="8"/>
        <v>0.0674</v>
      </c>
      <c r="F91" s="485"/>
      <c r="G91" s="489"/>
      <c r="H91" s="485">
        <f t="shared" si="5"/>
        <v>16600000</v>
      </c>
      <c r="I91" s="493">
        <v>29</v>
      </c>
      <c r="J91" s="488">
        <f t="shared" si="7"/>
        <v>88651.2568306011</v>
      </c>
      <c r="K91" s="439"/>
      <c r="L91" s="439"/>
      <c r="M91" s="439"/>
      <c r="N91" s="515"/>
      <c r="O91" s="516"/>
      <c r="P91" s="516"/>
    </row>
    <row r="92" spans="2:16" ht="15.75">
      <c r="B92" s="529">
        <v>45656</v>
      </c>
      <c r="C92" s="528">
        <f t="shared" si="9"/>
        <v>0.0589</v>
      </c>
      <c r="D92" s="483">
        <f t="shared" si="10"/>
        <v>0.0085</v>
      </c>
      <c r="E92" s="484">
        <f t="shared" si="8"/>
        <v>0.0674</v>
      </c>
      <c r="F92" s="492"/>
      <c r="G92" s="489"/>
      <c r="H92" s="485">
        <f t="shared" si="5"/>
        <v>16600000</v>
      </c>
      <c r="I92" s="493">
        <v>1</v>
      </c>
      <c r="J92" s="488">
        <f t="shared" si="7"/>
        <v>3056.9398907103823</v>
      </c>
      <c r="K92" s="460"/>
      <c r="L92" s="460"/>
      <c r="M92" s="460"/>
      <c r="N92" s="515"/>
      <c r="O92" s="516"/>
      <c r="P92" s="516"/>
    </row>
    <row r="93" spans="2:16" ht="15.75">
      <c r="B93" s="532">
        <v>45657</v>
      </c>
      <c r="C93" s="533">
        <f t="shared" si="9"/>
        <v>0.0589</v>
      </c>
      <c r="D93" s="432">
        <f t="shared" si="10"/>
        <v>0.0085</v>
      </c>
      <c r="E93" s="433">
        <f t="shared" si="8"/>
        <v>0.0674</v>
      </c>
      <c r="F93" s="434"/>
      <c r="G93" s="534"/>
      <c r="H93" s="434">
        <f t="shared" si="5"/>
        <v>16600000</v>
      </c>
      <c r="I93" s="436">
        <v>1</v>
      </c>
      <c r="J93" s="535">
        <f t="shared" si="7"/>
        <v>3056.9398907103823</v>
      </c>
      <c r="K93" s="438"/>
      <c r="L93" s="439"/>
      <c r="M93" s="439"/>
      <c r="N93" s="515"/>
      <c r="O93" s="536"/>
      <c r="P93" s="536"/>
    </row>
    <row r="94" spans="2:13" ht="15.75">
      <c r="B94" s="537">
        <v>45688</v>
      </c>
      <c r="C94" s="441">
        <f t="shared" si="9"/>
        <v>0.0589</v>
      </c>
      <c r="D94" s="442">
        <f t="shared" si="10"/>
        <v>0.0085</v>
      </c>
      <c r="E94" s="443">
        <f t="shared" si="8"/>
        <v>0.0674</v>
      </c>
      <c r="F94" s="444"/>
      <c r="G94" s="506"/>
      <c r="H94" s="444">
        <f t="shared" si="5"/>
        <v>16600000</v>
      </c>
      <c r="I94" s="446">
        <v>31</v>
      </c>
      <c r="J94" s="447">
        <f aca="true" t="shared" si="11" ref="J94:J157">H94*E94*I94/365</f>
        <v>95024.76712328767</v>
      </c>
      <c r="K94" s="438">
        <f>SUM(J94:J111)</f>
        <v>1111167.4794520547</v>
      </c>
      <c r="L94" s="438">
        <f>SUM(G94:G111)</f>
        <v>150000</v>
      </c>
      <c r="M94" s="439"/>
    </row>
    <row r="95" spans="2:13" ht="15.75">
      <c r="B95" s="538">
        <v>45716</v>
      </c>
      <c r="C95" s="449">
        <f t="shared" si="9"/>
        <v>0.0589</v>
      </c>
      <c r="D95" s="450">
        <f t="shared" si="10"/>
        <v>0.0085</v>
      </c>
      <c r="E95" s="451">
        <f t="shared" si="8"/>
        <v>0.0674</v>
      </c>
      <c r="F95" s="452"/>
      <c r="G95" s="459"/>
      <c r="H95" s="452">
        <f t="shared" si="5"/>
        <v>16600000</v>
      </c>
      <c r="I95" s="454">
        <v>28</v>
      </c>
      <c r="J95" s="455">
        <f t="shared" si="11"/>
        <v>85828.82191780822</v>
      </c>
      <c r="K95" s="439"/>
      <c r="L95" s="439"/>
      <c r="M95" s="439"/>
    </row>
    <row r="96" spans="2:13" ht="15.75">
      <c r="B96" s="538">
        <v>45745</v>
      </c>
      <c r="C96" s="449">
        <f t="shared" si="9"/>
        <v>0.0589</v>
      </c>
      <c r="D96" s="450">
        <f t="shared" si="10"/>
        <v>0.0085</v>
      </c>
      <c r="E96" s="451">
        <f t="shared" si="8"/>
        <v>0.0674</v>
      </c>
      <c r="F96" s="452"/>
      <c r="G96" s="459"/>
      <c r="H96" s="452">
        <f t="shared" si="5"/>
        <v>16600000</v>
      </c>
      <c r="I96" s="454">
        <v>29</v>
      </c>
      <c r="J96" s="455">
        <f t="shared" si="11"/>
        <v>88894.13698630137</v>
      </c>
      <c r="K96" s="439"/>
      <c r="L96" s="439"/>
      <c r="M96" s="439"/>
    </row>
    <row r="97" spans="2:13" ht="15.75">
      <c r="B97" s="539">
        <v>45746</v>
      </c>
      <c r="C97" s="449">
        <f t="shared" si="9"/>
        <v>0.0589</v>
      </c>
      <c r="D97" s="450">
        <f t="shared" si="10"/>
        <v>0.0085</v>
      </c>
      <c r="E97" s="451">
        <f t="shared" si="8"/>
        <v>0.0674</v>
      </c>
      <c r="F97" s="452"/>
      <c r="G97" s="459">
        <v>150000</v>
      </c>
      <c r="H97" s="452">
        <f t="shared" si="5"/>
        <v>16450000</v>
      </c>
      <c r="I97" s="454">
        <v>1</v>
      </c>
      <c r="J97" s="455">
        <f t="shared" si="11"/>
        <v>3037.6164383561645</v>
      </c>
      <c r="K97" s="439"/>
      <c r="L97" s="439"/>
      <c r="M97" s="439"/>
    </row>
    <row r="98" spans="2:13" ht="15.75">
      <c r="B98" s="538">
        <v>45747</v>
      </c>
      <c r="C98" s="449">
        <f t="shared" si="9"/>
        <v>0.0589</v>
      </c>
      <c r="D98" s="450">
        <f t="shared" si="10"/>
        <v>0.0085</v>
      </c>
      <c r="E98" s="451">
        <f t="shared" si="8"/>
        <v>0.0674</v>
      </c>
      <c r="F98" s="462"/>
      <c r="G98" s="459"/>
      <c r="H98" s="452">
        <f t="shared" si="5"/>
        <v>16450000</v>
      </c>
      <c r="I98" s="454">
        <v>1</v>
      </c>
      <c r="J98" s="455">
        <f t="shared" si="11"/>
        <v>3037.6164383561645</v>
      </c>
      <c r="K98" s="460"/>
      <c r="L98" s="460"/>
      <c r="M98" s="460"/>
    </row>
    <row r="99" spans="2:13" ht="15.75">
      <c r="B99" s="538">
        <v>45777</v>
      </c>
      <c r="C99" s="449">
        <f t="shared" si="9"/>
        <v>0.0589</v>
      </c>
      <c r="D99" s="450">
        <f t="shared" si="10"/>
        <v>0.0085</v>
      </c>
      <c r="E99" s="451">
        <f t="shared" si="8"/>
        <v>0.0674</v>
      </c>
      <c r="F99" s="511"/>
      <c r="G99" s="512"/>
      <c r="H99" s="452">
        <f t="shared" si="5"/>
        <v>16450000</v>
      </c>
      <c r="I99" s="454">
        <v>30</v>
      </c>
      <c r="J99" s="455">
        <f t="shared" si="11"/>
        <v>91128.49315068492</v>
      </c>
      <c r="K99" s="439"/>
      <c r="L99" s="439"/>
      <c r="M99" s="439"/>
    </row>
    <row r="100" spans="2:13" ht="15.75">
      <c r="B100" s="540">
        <v>45808</v>
      </c>
      <c r="C100" s="449">
        <f t="shared" si="9"/>
        <v>0.0589</v>
      </c>
      <c r="D100" s="450">
        <f t="shared" si="10"/>
        <v>0.0085</v>
      </c>
      <c r="E100" s="451">
        <f t="shared" si="8"/>
        <v>0.0674</v>
      </c>
      <c r="F100" s="452"/>
      <c r="G100" s="459"/>
      <c r="H100" s="452">
        <f t="shared" si="5"/>
        <v>16450000</v>
      </c>
      <c r="I100" s="454">
        <v>31</v>
      </c>
      <c r="J100" s="455">
        <f t="shared" si="11"/>
        <v>94166.1095890411</v>
      </c>
      <c r="K100" s="439"/>
      <c r="L100" s="439"/>
      <c r="M100" s="439"/>
    </row>
    <row r="101" spans="2:13" ht="15.75">
      <c r="B101" s="540">
        <v>45837</v>
      </c>
      <c r="C101" s="449">
        <f t="shared" si="9"/>
        <v>0.0589</v>
      </c>
      <c r="D101" s="450">
        <f t="shared" si="10"/>
        <v>0.0085</v>
      </c>
      <c r="E101" s="451">
        <f t="shared" si="8"/>
        <v>0.0674</v>
      </c>
      <c r="F101" s="452"/>
      <c r="G101" s="459"/>
      <c r="H101" s="452">
        <f aca="true" t="shared" si="12" ref="H101:H164">H100-G101</f>
        <v>16450000</v>
      </c>
      <c r="I101" s="508">
        <v>29</v>
      </c>
      <c r="J101" s="455">
        <f t="shared" si="11"/>
        <v>88090.87671232877</v>
      </c>
      <c r="K101" s="438"/>
      <c r="L101" s="439"/>
      <c r="M101" s="439"/>
    </row>
    <row r="102" spans="2:13" ht="15.75">
      <c r="B102" s="539">
        <v>45838</v>
      </c>
      <c r="C102" s="449">
        <f t="shared" si="9"/>
        <v>0.0589</v>
      </c>
      <c r="D102" s="450">
        <f t="shared" si="10"/>
        <v>0.0085</v>
      </c>
      <c r="E102" s="451">
        <f t="shared" si="8"/>
        <v>0.0674</v>
      </c>
      <c r="F102" s="452"/>
      <c r="G102" s="459"/>
      <c r="H102" s="452">
        <f t="shared" si="12"/>
        <v>16450000</v>
      </c>
      <c r="I102" s="454">
        <v>1</v>
      </c>
      <c r="J102" s="455">
        <f t="shared" si="11"/>
        <v>3037.6164383561645</v>
      </c>
      <c r="K102" s="439"/>
      <c r="L102" s="439"/>
      <c r="M102" s="439"/>
    </row>
    <row r="103" spans="2:13" ht="15.75">
      <c r="B103" s="538">
        <v>45869</v>
      </c>
      <c r="C103" s="449">
        <f t="shared" si="9"/>
        <v>0.0589</v>
      </c>
      <c r="D103" s="450">
        <f t="shared" si="10"/>
        <v>0.0085</v>
      </c>
      <c r="E103" s="451">
        <f t="shared" si="8"/>
        <v>0.0674</v>
      </c>
      <c r="F103" s="452"/>
      <c r="G103" s="459"/>
      <c r="H103" s="452">
        <f t="shared" si="12"/>
        <v>16450000</v>
      </c>
      <c r="I103" s="454">
        <v>31</v>
      </c>
      <c r="J103" s="455">
        <f t="shared" si="11"/>
        <v>94166.1095890411</v>
      </c>
      <c r="K103" s="439"/>
      <c r="L103" s="439"/>
      <c r="M103" s="439"/>
    </row>
    <row r="104" spans="2:13" ht="15.75">
      <c r="B104" s="538">
        <v>45900</v>
      </c>
      <c r="C104" s="449">
        <f t="shared" si="9"/>
        <v>0.0589</v>
      </c>
      <c r="D104" s="450">
        <f t="shared" si="10"/>
        <v>0.0085</v>
      </c>
      <c r="E104" s="451">
        <f t="shared" si="8"/>
        <v>0.0674</v>
      </c>
      <c r="F104" s="452"/>
      <c r="G104" s="459"/>
      <c r="H104" s="452">
        <f t="shared" si="12"/>
        <v>16450000</v>
      </c>
      <c r="I104" s="508">
        <v>31</v>
      </c>
      <c r="J104" s="455">
        <f t="shared" si="11"/>
        <v>94166.1095890411</v>
      </c>
      <c r="K104" s="439"/>
      <c r="L104" s="439"/>
      <c r="M104" s="439"/>
    </row>
    <row r="105" spans="2:13" ht="15.75">
      <c r="B105" s="538">
        <v>45929</v>
      </c>
      <c r="C105" s="449">
        <f t="shared" si="9"/>
        <v>0.0589</v>
      </c>
      <c r="D105" s="450">
        <f t="shared" si="10"/>
        <v>0.0085</v>
      </c>
      <c r="E105" s="451">
        <f t="shared" si="8"/>
        <v>0.0674</v>
      </c>
      <c r="F105" s="452"/>
      <c r="G105" s="459"/>
      <c r="H105" s="452">
        <f t="shared" si="12"/>
        <v>16450000</v>
      </c>
      <c r="I105" s="454">
        <v>29</v>
      </c>
      <c r="J105" s="455">
        <f t="shared" si="11"/>
        <v>88090.87671232877</v>
      </c>
      <c r="K105" s="439"/>
      <c r="L105" s="439"/>
      <c r="M105" s="439"/>
    </row>
    <row r="106" spans="2:13" ht="15.75">
      <c r="B106" s="539">
        <v>45930</v>
      </c>
      <c r="C106" s="449">
        <f t="shared" si="9"/>
        <v>0.0589</v>
      </c>
      <c r="D106" s="450">
        <f t="shared" si="10"/>
        <v>0.0085</v>
      </c>
      <c r="E106" s="451">
        <f t="shared" si="8"/>
        <v>0.0674</v>
      </c>
      <c r="F106" s="462"/>
      <c r="G106" s="459"/>
      <c r="H106" s="452">
        <f t="shared" si="12"/>
        <v>16450000</v>
      </c>
      <c r="I106" s="454">
        <v>1</v>
      </c>
      <c r="J106" s="455">
        <f t="shared" si="11"/>
        <v>3037.6164383561645</v>
      </c>
      <c r="K106" s="460"/>
      <c r="L106" s="460"/>
      <c r="M106" s="460"/>
    </row>
    <row r="107" spans="2:13" ht="15.75">
      <c r="B107" s="540">
        <v>45961</v>
      </c>
      <c r="C107" s="449">
        <f t="shared" si="9"/>
        <v>0.0589</v>
      </c>
      <c r="D107" s="450">
        <f t="shared" si="10"/>
        <v>0.0085</v>
      </c>
      <c r="E107" s="451">
        <f t="shared" si="8"/>
        <v>0.0674</v>
      </c>
      <c r="F107" s="452"/>
      <c r="G107" s="459"/>
      <c r="H107" s="452">
        <f t="shared" si="12"/>
        <v>16450000</v>
      </c>
      <c r="I107" s="508">
        <v>31</v>
      </c>
      <c r="J107" s="455">
        <f t="shared" si="11"/>
        <v>94166.1095890411</v>
      </c>
      <c r="K107" s="439"/>
      <c r="L107" s="439"/>
      <c r="M107" s="439"/>
    </row>
    <row r="108" spans="2:13" ht="15.75">
      <c r="B108" s="540">
        <v>45991</v>
      </c>
      <c r="C108" s="449">
        <f t="shared" si="9"/>
        <v>0.0589</v>
      </c>
      <c r="D108" s="450">
        <f t="shared" si="10"/>
        <v>0.0085</v>
      </c>
      <c r="E108" s="451">
        <f t="shared" si="8"/>
        <v>0.0674</v>
      </c>
      <c r="F108" s="452"/>
      <c r="G108" s="459"/>
      <c r="H108" s="452">
        <f t="shared" si="12"/>
        <v>16450000</v>
      </c>
      <c r="I108" s="514">
        <v>30</v>
      </c>
      <c r="J108" s="455">
        <f t="shared" si="11"/>
        <v>91128.49315068492</v>
      </c>
      <c r="K108" s="439"/>
      <c r="L108" s="439"/>
      <c r="M108" s="439"/>
    </row>
    <row r="109" spans="2:13" ht="15.75">
      <c r="B109" s="540">
        <v>46020</v>
      </c>
      <c r="C109" s="449">
        <f t="shared" si="9"/>
        <v>0.0589</v>
      </c>
      <c r="D109" s="450">
        <f t="shared" si="10"/>
        <v>0.0085</v>
      </c>
      <c r="E109" s="451">
        <f t="shared" si="8"/>
        <v>0.0674</v>
      </c>
      <c r="F109" s="452"/>
      <c r="G109" s="459"/>
      <c r="H109" s="452">
        <f t="shared" si="12"/>
        <v>16450000</v>
      </c>
      <c r="I109" s="508">
        <v>29</v>
      </c>
      <c r="J109" s="455">
        <f t="shared" si="11"/>
        <v>88090.87671232877</v>
      </c>
      <c r="K109" s="439"/>
      <c r="L109" s="439"/>
      <c r="M109" s="439"/>
    </row>
    <row r="110" spans="2:13" ht="15.75">
      <c r="B110" s="539">
        <v>46021</v>
      </c>
      <c r="C110" s="449">
        <f t="shared" si="9"/>
        <v>0.0589</v>
      </c>
      <c r="D110" s="450">
        <f t="shared" si="10"/>
        <v>0.0085</v>
      </c>
      <c r="E110" s="451">
        <f t="shared" si="8"/>
        <v>0.0674</v>
      </c>
      <c r="F110" s="452"/>
      <c r="G110" s="459"/>
      <c r="H110" s="452">
        <f t="shared" si="12"/>
        <v>16450000</v>
      </c>
      <c r="I110" s="508">
        <v>1</v>
      </c>
      <c r="J110" s="455">
        <f t="shared" si="11"/>
        <v>3037.6164383561645</v>
      </c>
      <c r="K110" s="439"/>
      <c r="L110" s="439"/>
      <c r="M110" s="439"/>
    </row>
    <row r="111" spans="2:13" ht="15.75">
      <c r="B111" s="541">
        <v>46022</v>
      </c>
      <c r="C111" s="518">
        <f t="shared" si="9"/>
        <v>0.0589</v>
      </c>
      <c r="D111" s="519">
        <f t="shared" si="10"/>
        <v>0.0085</v>
      </c>
      <c r="E111" s="520">
        <f t="shared" si="8"/>
        <v>0.0674</v>
      </c>
      <c r="F111" s="521"/>
      <c r="G111" s="522"/>
      <c r="H111" s="521">
        <f t="shared" si="12"/>
        <v>16450000</v>
      </c>
      <c r="I111" s="523">
        <v>1</v>
      </c>
      <c r="J111" s="524">
        <f t="shared" si="11"/>
        <v>3037.6164383561645</v>
      </c>
      <c r="K111" s="439"/>
      <c r="L111" s="439"/>
      <c r="M111" s="439"/>
    </row>
    <row r="112" spans="2:13" ht="15.75">
      <c r="B112" s="479">
        <v>46053</v>
      </c>
      <c r="C112" s="421">
        <f t="shared" si="9"/>
        <v>0.0589</v>
      </c>
      <c r="D112" s="422">
        <f t="shared" si="10"/>
        <v>0.0085</v>
      </c>
      <c r="E112" s="423">
        <f t="shared" si="8"/>
        <v>0.0674</v>
      </c>
      <c r="F112" s="542"/>
      <c r="G112" s="425"/>
      <c r="H112" s="426">
        <f t="shared" si="12"/>
        <v>16450000</v>
      </c>
      <c r="I112" s="427">
        <v>31</v>
      </c>
      <c r="J112" s="428">
        <f t="shared" si="11"/>
        <v>94166.1095890411</v>
      </c>
      <c r="K112" s="543">
        <f>SUM(J112:J129)</f>
        <v>1098499.97260274</v>
      </c>
      <c r="L112" s="543">
        <f>SUM(G112:G129)</f>
        <v>200000</v>
      </c>
      <c r="M112" s="460"/>
    </row>
    <row r="113" spans="2:13" ht="15.75">
      <c r="B113" s="481">
        <v>46081</v>
      </c>
      <c r="C113" s="482">
        <f t="shared" si="9"/>
        <v>0.0589</v>
      </c>
      <c r="D113" s="483">
        <f t="shared" si="10"/>
        <v>0.0085</v>
      </c>
      <c r="E113" s="484">
        <f t="shared" si="8"/>
        <v>0.0674</v>
      </c>
      <c r="F113" s="498"/>
      <c r="G113" s="531"/>
      <c r="H113" s="485">
        <f t="shared" si="12"/>
        <v>16450000</v>
      </c>
      <c r="I113" s="487">
        <v>28</v>
      </c>
      <c r="J113" s="488">
        <f t="shared" si="11"/>
        <v>85053.2602739726</v>
      </c>
      <c r="K113" s="439"/>
      <c r="L113" s="439"/>
      <c r="M113" s="439"/>
    </row>
    <row r="114" spans="2:13" ht="15.75">
      <c r="B114" s="481">
        <v>46110</v>
      </c>
      <c r="C114" s="482">
        <f t="shared" si="9"/>
        <v>0.0589</v>
      </c>
      <c r="D114" s="483">
        <f t="shared" si="10"/>
        <v>0.0085</v>
      </c>
      <c r="E114" s="484">
        <f t="shared" si="8"/>
        <v>0.0674</v>
      </c>
      <c r="F114" s="485"/>
      <c r="G114" s="489"/>
      <c r="H114" s="485">
        <f t="shared" si="12"/>
        <v>16450000</v>
      </c>
      <c r="I114" s="487">
        <v>29</v>
      </c>
      <c r="J114" s="488">
        <f t="shared" si="11"/>
        <v>88090.87671232877</v>
      </c>
      <c r="K114" s="439"/>
      <c r="L114" s="439"/>
      <c r="M114" s="439"/>
    </row>
    <row r="115" spans="2:13" ht="15.75">
      <c r="B115" s="490">
        <v>46111</v>
      </c>
      <c r="C115" s="482">
        <f t="shared" si="9"/>
        <v>0.0589</v>
      </c>
      <c r="D115" s="483">
        <f t="shared" si="10"/>
        <v>0.0085</v>
      </c>
      <c r="E115" s="484">
        <f t="shared" si="8"/>
        <v>0.0674</v>
      </c>
      <c r="F115" s="485"/>
      <c r="G115" s="489">
        <v>200000</v>
      </c>
      <c r="H115" s="485">
        <f t="shared" si="12"/>
        <v>16250000</v>
      </c>
      <c r="I115" s="487">
        <v>1</v>
      </c>
      <c r="J115" s="488">
        <f t="shared" si="11"/>
        <v>3000.6849315068494</v>
      </c>
      <c r="K115" s="438"/>
      <c r="L115" s="439"/>
      <c r="M115" s="439"/>
    </row>
    <row r="116" spans="2:13" ht="15.75">
      <c r="B116" s="481">
        <v>46112</v>
      </c>
      <c r="C116" s="482">
        <f t="shared" si="9"/>
        <v>0.0589</v>
      </c>
      <c r="D116" s="483">
        <f t="shared" si="10"/>
        <v>0.0085</v>
      </c>
      <c r="E116" s="484">
        <f t="shared" si="8"/>
        <v>0.0674</v>
      </c>
      <c r="F116" s="485"/>
      <c r="G116" s="489"/>
      <c r="H116" s="485">
        <f t="shared" si="12"/>
        <v>16250000</v>
      </c>
      <c r="I116" s="487">
        <v>1</v>
      </c>
      <c r="J116" s="488">
        <f t="shared" si="11"/>
        <v>3000.6849315068494</v>
      </c>
      <c r="K116" s="439"/>
      <c r="L116" s="439"/>
      <c r="M116" s="439"/>
    </row>
    <row r="117" spans="2:13" ht="15.75">
      <c r="B117" s="481">
        <v>46142</v>
      </c>
      <c r="C117" s="482">
        <f t="shared" si="9"/>
        <v>0.0589</v>
      </c>
      <c r="D117" s="483">
        <f t="shared" si="10"/>
        <v>0.0085</v>
      </c>
      <c r="E117" s="484">
        <f t="shared" si="8"/>
        <v>0.0674</v>
      </c>
      <c r="F117" s="485"/>
      <c r="G117" s="489"/>
      <c r="H117" s="485">
        <f t="shared" si="12"/>
        <v>16250000</v>
      </c>
      <c r="I117" s="487">
        <v>30</v>
      </c>
      <c r="J117" s="488">
        <f t="shared" si="11"/>
        <v>90020.54794520549</v>
      </c>
      <c r="K117" s="439"/>
      <c r="L117" s="439"/>
      <c r="M117" s="439"/>
    </row>
    <row r="118" spans="2:13" ht="15.75">
      <c r="B118" s="491">
        <v>46173</v>
      </c>
      <c r="C118" s="482">
        <f t="shared" si="9"/>
        <v>0.0589</v>
      </c>
      <c r="D118" s="483">
        <f t="shared" si="10"/>
        <v>0.0085</v>
      </c>
      <c r="E118" s="484">
        <f t="shared" si="8"/>
        <v>0.0674</v>
      </c>
      <c r="F118" s="485"/>
      <c r="G118" s="489"/>
      <c r="H118" s="485">
        <f t="shared" si="12"/>
        <v>16250000</v>
      </c>
      <c r="I118" s="487">
        <v>31</v>
      </c>
      <c r="J118" s="488">
        <f t="shared" si="11"/>
        <v>93021.23287671233</v>
      </c>
      <c r="K118" s="439"/>
      <c r="L118" s="439"/>
      <c r="M118" s="439"/>
    </row>
    <row r="119" spans="2:13" ht="15.75">
      <c r="B119" s="491">
        <v>46202</v>
      </c>
      <c r="C119" s="482">
        <f t="shared" si="9"/>
        <v>0.0589</v>
      </c>
      <c r="D119" s="483">
        <f t="shared" si="10"/>
        <v>0.0085</v>
      </c>
      <c r="E119" s="484">
        <f t="shared" si="8"/>
        <v>0.0674</v>
      </c>
      <c r="F119" s="485"/>
      <c r="G119" s="489"/>
      <c r="H119" s="485">
        <f t="shared" si="12"/>
        <v>16250000</v>
      </c>
      <c r="I119" s="493">
        <v>29</v>
      </c>
      <c r="J119" s="488">
        <f t="shared" si="11"/>
        <v>87019.86301369863</v>
      </c>
      <c r="K119" s="439"/>
      <c r="L119" s="439"/>
      <c r="M119" s="439"/>
    </row>
    <row r="120" spans="2:13" ht="15.75">
      <c r="B120" s="490">
        <v>46203</v>
      </c>
      <c r="C120" s="482">
        <f t="shared" si="9"/>
        <v>0.0589</v>
      </c>
      <c r="D120" s="483">
        <f t="shared" si="10"/>
        <v>0.0085</v>
      </c>
      <c r="E120" s="484">
        <f t="shared" si="8"/>
        <v>0.0674</v>
      </c>
      <c r="F120" s="485"/>
      <c r="G120" s="489"/>
      <c r="H120" s="485">
        <f t="shared" si="12"/>
        <v>16250000</v>
      </c>
      <c r="I120" s="487">
        <v>1</v>
      </c>
      <c r="J120" s="488">
        <f t="shared" si="11"/>
        <v>3000.6849315068494</v>
      </c>
      <c r="K120" s="460"/>
      <c r="L120" s="460"/>
      <c r="M120" s="460"/>
    </row>
    <row r="121" spans="2:13" ht="15.75">
      <c r="B121" s="481">
        <v>46234</v>
      </c>
      <c r="C121" s="482">
        <f t="shared" si="9"/>
        <v>0.0589</v>
      </c>
      <c r="D121" s="483">
        <f t="shared" si="10"/>
        <v>0.0085</v>
      </c>
      <c r="E121" s="484">
        <f t="shared" si="8"/>
        <v>0.0674</v>
      </c>
      <c r="F121" s="485"/>
      <c r="G121" s="489"/>
      <c r="H121" s="485">
        <f t="shared" si="12"/>
        <v>16250000</v>
      </c>
      <c r="I121" s="487">
        <v>31</v>
      </c>
      <c r="J121" s="488">
        <f t="shared" si="11"/>
        <v>93021.23287671233</v>
      </c>
      <c r="K121" s="439"/>
      <c r="L121" s="439"/>
      <c r="M121" s="439"/>
    </row>
    <row r="122" spans="2:13" ht="15.75">
      <c r="B122" s="481">
        <v>46265</v>
      </c>
      <c r="C122" s="482">
        <f t="shared" si="9"/>
        <v>0.0589</v>
      </c>
      <c r="D122" s="483">
        <f t="shared" si="10"/>
        <v>0.0085</v>
      </c>
      <c r="E122" s="484">
        <f t="shared" si="8"/>
        <v>0.0674</v>
      </c>
      <c r="F122" s="485"/>
      <c r="G122" s="489"/>
      <c r="H122" s="485">
        <f t="shared" si="12"/>
        <v>16250000</v>
      </c>
      <c r="I122" s="493">
        <v>31</v>
      </c>
      <c r="J122" s="488">
        <f t="shared" si="11"/>
        <v>93021.23287671233</v>
      </c>
      <c r="K122" s="439"/>
      <c r="L122" s="439"/>
      <c r="M122" s="439"/>
    </row>
    <row r="123" spans="2:13" ht="15.75">
      <c r="B123" s="481">
        <v>46294</v>
      </c>
      <c r="C123" s="482">
        <f t="shared" si="9"/>
        <v>0.0589</v>
      </c>
      <c r="D123" s="483">
        <f t="shared" si="10"/>
        <v>0.0085</v>
      </c>
      <c r="E123" s="484">
        <f t="shared" si="8"/>
        <v>0.0674</v>
      </c>
      <c r="F123" s="485"/>
      <c r="G123" s="489"/>
      <c r="H123" s="485">
        <f t="shared" si="12"/>
        <v>16250000</v>
      </c>
      <c r="I123" s="487">
        <v>29</v>
      </c>
      <c r="J123" s="488">
        <f t="shared" si="11"/>
        <v>87019.86301369863</v>
      </c>
      <c r="K123" s="439"/>
      <c r="L123" s="439"/>
      <c r="M123" s="439"/>
    </row>
    <row r="124" spans="2:13" ht="15.75">
      <c r="B124" s="490">
        <v>46295</v>
      </c>
      <c r="C124" s="482">
        <f t="shared" si="9"/>
        <v>0.0589</v>
      </c>
      <c r="D124" s="483">
        <f t="shared" si="10"/>
        <v>0.0085</v>
      </c>
      <c r="E124" s="484">
        <f t="shared" si="8"/>
        <v>0.0674</v>
      </c>
      <c r="F124" s="485"/>
      <c r="G124" s="489"/>
      <c r="H124" s="485">
        <f t="shared" si="12"/>
        <v>16250000</v>
      </c>
      <c r="I124" s="487">
        <v>1</v>
      </c>
      <c r="J124" s="488">
        <f t="shared" si="11"/>
        <v>3000.6849315068494</v>
      </c>
      <c r="K124" s="439"/>
      <c r="L124" s="439"/>
      <c r="M124" s="439"/>
    </row>
    <row r="125" spans="2:13" ht="15.75">
      <c r="B125" s="491">
        <v>46326</v>
      </c>
      <c r="C125" s="482">
        <f t="shared" si="9"/>
        <v>0.0589</v>
      </c>
      <c r="D125" s="483">
        <f t="shared" si="10"/>
        <v>0.0085</v>
      </c>
      <c r="E125" s="484">
        <f t="shared" si="8"/>
        <v>0.0674</v>
      </c>
      <c r="F125" s="485"/>
      <c r="G125" s="489"/>
      <c r="H125" s="485">
        <f t="shared" si="12"/>
        <v>16250000</v>
      </c>
      <c r="I125" s="493">
        <v>31</v>
      </c>
      <c r="J125" s="488">
        <f t="shared" si="11"/>
        <v>93021.23287671233</v>
      </c>
      <c r="K125" s="439"/>
      <c r="L125" s="439"/>
      <c r="M125" s="439"/>
    </row>
    <row r="126" spans="2:13" ht="15.75">
      <c r="B126" s="491">
        <v>46356</v>
      </c>
      <c r="C126" s="482">
        <f t="shared" si="9"/>
        <v>0.0589</v>
      </c>
      <c r="D126" s="483">
        <f t="shared" si="10"/>
        <v>0.0085</v>
      </c>
      <c r="E126" s="484">
        <f t="shared" si="8"/>
        <v>0.0674</v>
      </c>
      <c r="F126" s="485"/>
      <c r="G126" s="489"/>
      <c r="H126" s="485">
        <f t="shared" si="12"/>
        <v>16250000</v>
      </c>
      <c r="I126" s="493">
        <v>30</v>
      </c>
      <c r="J126" s="488">
        <f t="shared" si="11"/>
        <v>90020.54794520549</v>
      </c>
      <c r="K126" s="439"/>
      <c r="L126" s="439"/>
      <c r="M126" s="439"/>
    </row>
    <row r="127" spans="2:13" ht="15.75">
      <c r="B127" s="491">
        <v>46385</v>
      </c>
      <c r="C127" s="482">
        <f t="shared" si="9"/>
        <v>0.0589</v>
      </c>
      <c r="D127" s="483">
        <f t="shared" si="10"/>
        <v>0.0085</v>
      </c>
      <c r="E127" s="484">
        <f t="shared" si="8"/>
        <v>0.0674</v>
      </c>
      <c r="F127" s="498"/>
      <c r="G127" s="531"/>
      <c r="H127" s="485">
        <f t="shared" si="12"/>
        <v>16250000</v>
      </c>
      <c r="I127" s="493">
        <v>29</v>
      </c>
      <c r="J127" s="488">
        <f t="shared" si="11"/>
        <v>87019.86301369863</v>
      </c>
      <c r="K127" s="439"/>
      <c r="L127" s="439"/>
      <c r="M127" s="439"/>
    </row>
    <row r="128" spans="2:13" ht="15.75">
      <c r="B128" s="490">
        <v>46386</v>
      </c>
      <c r="C128" s="482">
        <f t="shared" si="9"/>
        <v>0.0589</v>
      </c>
      <c r="D128" s="483">
        <f t="shared" si="10"/>
        <v>0.0085</v>
      </c>
      <c r="E128" s="484">
        <f t="shared" si="8"/>
        <v>0.0674</v>
      </c>
      <c r="F128" s="485"/>
      <c r="G128" s="489"/>
      <c r="H128" s="485">
        <f t="shared" si="12"/>
        <v>16250000</v>
      </c>
      <c r="I128" s="493">
        <v>1</v>
      </c>
      <c r="J128" s="488">
        <f t="shared" si="11"/>
        <v>3000.6849315068494</v>
      </c>
      <c r="K128" s="439"/>
      <c r="L128" s="439"/>
      <c r="M128" s="439"/>
    </row>
    <row r="129" spans="2:13" ht="15.75">
      <c r="B129" s="544">
        <v>46387</v>
      </c>
      <c r="C129" s="545">
        <f t="shared" si="9"/>
        <v>0.0589</v>
      </c>
      <c r="D129" s="546">
        <f t="shared" si="10"/>
        <v>0.0085</v>
      </c>
      <c r="E129" s="547">
        <f t="shared" si="8"/>
        <v>0.0674</v>
      </c>
      <c r="F129" s="495"/>
      <c r="G129" s="548"/>
      <c r="H129" s="495">
        <f t="shared" si="12"/>
        <v>16250000</v>
      </c>
      <c r="I129" s="549">
        <v>1</v>
      </c>
      <c r="J129" s="550">
        <f t="shared" si="11"/>
        <v>3000.6849315068494</v>
      </c>
      <c r="K129" s="438"/>
      <c r="L129" s="439"/>
      <c r="M129" s="439"/>
    </row>
    <row r="130" spans="2:13" ht="15.75">
      <c r="B130" s="440">
        <v>46418</v>
      </c>
      <c r="C130" s="441">
        <f t="shared" si="9"/>
        <v>0.0589</v>
      </c>
      <c r="D130" s="442">
        <f t="shared" si="10"/>
        <v>0.0085</v>
      </c>
      <c r="E130" s="443">
        <f t="shared" si="8"/>
        <v>0.0674</v>
      </c>
      <c r="F130" s="444"/>
      <c r="G130" s="506"/>
      <c r="H130" s="444">
        <f t="shared" si="12"/>
        <v>16250000</v>
      </c>
      <c r="I130" s="446">
        <v>31</v>
      </c>
      <c r="J130" s="447">
        <f t="shared" si="11"/>
        <v>93021.23287671233</v>
      </c>
      <c r="K130" s="438">
        <f>SUM(J130:J147)</f>
        <v>1085019.9726027397</v>
      </c>
      <c r="L130" s="438">
        <f>SUM(G130:G147)</f>
        <v>200000</v>
      </c>
      <c r="M130" s="439"/>
    </row>
    <row r="131" spans="2:13" ht="15.75">
      <c r="B131" s="448">
        <v>46446</v>
      </c>
      <c r="C131" s="449">
        <f t="shared" si="9"/>
        <v>0.0589</v>
      </c>
      <c r="D131" s="450">
        <f t="shared" si="10"/>
        <v>0.0085</v>
      </c>
      <c r="E131" s="451">
        <f t="shared" si="8"/>
        <v>0.0674</v>
      </c>
      <c r="F131" s="452"/>
      <c r="G131" s="459"/>
      <c r="H131" s="452">
        <f t="shared" si="12"/>
        <v>16250000</v>
      </c>
      <c r="I131" s="454">
        <v>28</v>
      </c>
      <c r="J131" s="455">
        <f t="shared" si="11"/>
        <v>84019.17808219178</v>
      </c>
      <c r="K131" s="439"/>
      <c r="L131" s="439"/>
      <c r="M131" s="439"/>
    </row>
    <row r="132" spans="2:13" ht="15.75">
      <c r="B132" s="448">
        <v>46475</v>
      </c>
      <c r="C132" s="449">
        <f t="shared" si="9"/>
        <v>0.0589</v>
      </c>
      <c r="D132" s="450">
        <f t="shared" si="10"/>
        <v>0.0085</v>
      </c>
      <c r="E132" s="451">
        <f t="shared" si="8"/>
        <v>0.0674</v>
      </c>
      <c r="F132" s="452"/>
      <c r="G132" s="459"/>
      <c r="H132" s="452">
        <f t="shared" si="12"/>
        <v>16250000</v>
      </c>
      <c r="I132" s="454">
        <v>29</v>
      </c>
      <c r="J132" s="455">
        <f t="shared" si="11"/>
        <v>87019.86301369863</v>
      </c>
      <c r="K132" s="439"/>
      <c r="L132" s="439"/>
      <c r="M132" s="439"/>
    </row>
    <row r="133" spans="2:13" ht="15.75">
      <c r="B133" s="458">
        <v>46476</v>
      </c>
      <c r="C133" s="449">
        <f t="shared" si="9"/>
        <v>0.0589</v>
      </c>
      <c r="D133" s="450">
        <f t="shared" si="10"/>
        <v>0.0085</v>
      </c>
      <c r="E133" s="451">
        <f t="shared" si="8"/>
        <v>0.0674</v>
      </c>
      <c r="F133" s="452"/>
      <c r="G133" s="459">
        <v>200000</v>
      </c>
      <c r="H133" s="452">
        <f t="shared" si="12"/>
        <v>16050000</v>
      </c>
      <c r="I133" s="454">
        <v>1</v>
      </c>
      <c r="J133" s="455">
        <f t="shared" si="11"/>
        <v>2963.753424657534</v>
      </c>
      <c r="K133" s="439"/>
      <c r="L133" s="439"/>
      <c r="M133" s="439"/>
    </row>
    <row r="134" spans="2:13" ht="15.75">
      <c r="B134" s="448">
        <v>46477</v>
      </c>
      <c r="C134" s="449">
        <f t="shared" si="9"/>
        <v>0.0589</v>
      </c>
      <c r="D134" s="450">
        <f t="shared" si="10"/>
        <v>0.0085</v>
      </c>
      <c r="E134" s="451">
        <f t="shared" si="8"/>
        <v>0.0674</v>
      </c>
      <c r="F134" s="452"/>
      <c r="G134" s="459"/>
      <c r="H134" s="452">
        <f t="shared" si="12"/>
        <v>16050000</v>
      </c>
      <c r="I134" s="454">
        <v>1</v>
      </c>
      <c r="J134" s="455">
        <f t="shared" si="11"/>
        <v>2963.753424657534</v>
      </c>
      <c r="K134" s="439"/>
      <c r="L134" s="439"/>
      <c r="M134" s="439"/>
    </row>
    <row r="135" spans="2:13" ht="15.75">
      <c r="B135" s="448">
        <v>46507</v>
      </c>
      <c r="C135" s="449">
        <f t="shared" si="9"/>
        <v>0.0589</v>
      </c>
      <c r="D135" s="450">
        <f t="shared" si="10"/>
        <v>0.0085</v>
      </c>
      <c r="E135" s="451">
        <f t="shared" si="8"/>
        <v>0.0674</v>
      </c>
      <c r="F135" s="452"/>
      <c r="G135" s="459"/>
      <c r="H135" s="452">
        <f t="shared" si="12"/>
        <v>16050000</v>
      </c>
      <c r="I135" s="454">
        <v>30</v>
      </c>
      <c r="J135" s="455">
        <f t="shared" si="11"/>
        <v>88912.60273972603</v>
      </c>
      <c r="K135" s="439"/>
      <c r="L135" s="439"/>
      <c r="M135" s="439"/>
    </row>
    <row r="136" spans="2:13" ht="15.75">
      <c r="B136" s="461">
        <v>46538</v>
      </c>
      <c r="C136" s="449">
        <f t="shared" si="9"/>
        <v>0.0589</v>
      </c>
      <c r="D136" s="450">
        <f t="shared" si="10"/>
        <v>0.0085</v>
      </c>
      <c r="E136" s="451">
        <f t="shared" si="8"/>
        <v>0.0674</v>
      </c>
      <c r="F136" s="452"/>
      <c r="G136" s="459"/>
      <c r="H136" s="452">
        <f t="shared" si="12"/>
        <v>16050000</v>
      </c>
      <c r="I136" s="454">
        <v>31</v>
      </c>
      <c r="J136" s="455">
        <f t="shared" si="11"/>
        <v>91876.35616438356</v>
      </c>
      <c r="K136" s="439"/>
      <c r="L136" s="439"/>
      <c r="M136" s="439"/>
    </row>
    <row r="137" spans="2:13" ht="15.75">
      <c r="B137" s="461">
        <v>46567</v>
      </c>
      <c r="C137" s="449">
        <f t="shared" si="9"/>
        <v>0.0589</v>
      </c>
      <c r="D137" s="450">
        <f t="shared" si="10"/>
        <v>0.0085</v>
      </c>
      <c r="E137" s="451">
        <f t="shared" si="8"/>
        <v>0.0674</v>
      </c>
      <c r="F137" s="452"/>
      <c r="G137" s="459"/>
      <c r="H137" s="452">
        <f t="shared" si="12"/>
        <v>16050000</v>
      </c>
      <c r="I137" s="508">
        <v>29</v>
      </c>
      <c r="J137" s="455">
        <f t="shared" si="11"/>
        <v>85948.8493150685</v>
      </c>
      <c r="K137" s="439"/>
      <c r="L137" s="439"/>
      <c r="M137" s="439"/>
    </row>
    <row r="138" spans="2:13" ht="15.75">
      <c r="B138" s="458">
        <v>46568</v>
      </c>
      <c r="C138" s="449">
        <f t="shared" si="9"/>
        <v>0.0589</v>
      </c>
      <c r="D138" s="450">
        <f t="shared" si="10"/>
        <v>0.0085</v>
      </c>
      <c r="E138" s="451">
        <f t="shared" si="8"/>
        <v>0.0674</v>
      </c>
      <c r="F138" s="452"/>
      <c r="G138" s="459"/>
      <c r="H138" s="452">
        <f t="shared" si="12"/>
        <v>16050000</v>
      </c>
      <c r="I138" s="454">
        <v>1</v>
      </c>
      <c r="J138" s="455">
        <f t="shared" si="11"/>
        <v>2963.753424657534</v>
      </c>
      <c r="K138" s="439"/>
      <c r="L138" s="439"/>
      <c r="M138" s="439"/>
    </row>
    <row r="139" spans="2:13" ht="15.75">
      <c r="B139" s="448">
        <v>46599</v>
      </c>
      <c r="C139" s="449">
        <f t="shared" si="9"/>
        <v>0.0589</v>
      </c>
      <c r="D139" s="450">
        <f t="shared" si="10"/>
        <v>0.0085</v>
      </c>
      <c r="E139" s="451">
        <f t="shared" si="8"/>
        <v>0.0674</v>
      </c>
      <c r="F139" s="452"/>
      <c r="G139" s="459"/>
      <c r="H139" s="452">
        <f t="shared" si="12"/>
        <v>16050000</v>
      </c>
      <c r="I139" s="454">
        <v>31</v>
      </c>
      <c r="J139" s="455">
        <f t="shared" si="11"/>
        <v>91876.35616438356</v>
      </c>
      <c r="K139" s="439"/>
      <c r="L139" s="439"/>
      <c r="M139" s="439"/>
    </row>
    <row r="140" spans="2:13" ht="15.75">
      <c r="B140" s="448">
        <v>46630</v>
      </c>
      <c r="C140" s="449">
        <f t="shared" si="9"/>
        <v>0.0589</v>
      </c>
      <c r="D140" s="450">
        <f t="shared" si="10"/>
        <v>0.0085</v>
      </c>
      <c r="E140" s="451">
        <f t="shared" si="8"/>
        <v>0.0674</v>
      </c>
      <c r="F140" s="452"/>
      <c r="G140" s="459"/>
      <c r="H140" s="452">
        <f t="shared" si="12"/>
        <v>16050000</v>
      </c>
      <c r="I140" s="508">
        <v>31</v>
      </c>
      <c r="J140" s="455">
        <f t="shared" si="11"/>
        <v>91876.35616438356</v>
      </c>
      <c r="K140" s="439"/>
      <c r="L140" s="439"/>
      <c r="M140" s="439"/>
    </row>
    <row r="141" spans="2:13" ht="15.75">
      <c r="B141" s="448">
        <v>46659</v>
      </c>
      <c r="C141" s="449">
        <f t="shared" si="9"/>
        <v>0.0589</v>
      </c>
      <c r="D141" s="450">
        <f t="shared" si="10"/>
        <v>0.0085</v>
      </c>
      <c r="E141" s="451">
        <f t="shared" si="8"/>
        <v>0.0674</v>
      </c>
      <c r="F141" s="511"/>
      <c r="G141" s="512"/>
      <c r="H141" s="452">
        <f t="shared" si="12"/>
        <v>16050000</v>
      </c>
      <c r="I141" s="454">
        <v>29</v>
      </c>
      <c r="J141" s="455">
        <f t="shared" si="11"/>
        <v>85948.8493150685</v>
      </c>
      <c r="K141" s="439"/>
      <c r="L141" s="439"/>
      <c r="M141" s="439"/>
    </row>
    <row r="142" spans="2:13" ht="15.75">
      <c r="B142" s="458">
        <v>46660</v>
      </c>
      <c r="C142" s="449">
        <f t="shared" si="9"/>
        <v>0.0589</v>
      </c>
      <c r="D142" s="450">
        <f t="shared" si="10"/>
        <v>0.0085</v>
      </c>
      <c r="E142" s="451">
        <f t="shared" si="8"/>
        <v>0.0674</v>
      </c>
      <c r="F142" s="452"/>
      <c r="G142" s="459"/>
      <c r="H142" s="452">
        <f t="shared" si="12"/>
        <v>16050000</v>
      </c>
      <c r="I142" s="454">
        <v>1</v>
      </c>
      <c r="J142" s="455">
        <f t="shared" si="11"/>
        <v>2963.753424657534</v>
      </c>
      <c r="K142" s="439"/>
      <c r="L142" s="439"/>
      <c r="M142" s="439"/>
    </row>
    <row r="143" spans="2:13" ht="15.75">
      <c r="B143" s="461">
        <v>46691</v>
      </c>
      <c r="C143" s="449">
        <f t="shared" si="9"/>
        <v>0.0589</v>
      </c>
      <c r="D143" s="450">
        <f t="shared" si="10"/>
        <v>0.0085</v>
      </c>
      <c r="E143" s="451">
        <f t="shared" si="8"/>
        <v>0.0674</v>
      </c>
      <c r="F143" s="452"/>
      <c r="G143" s="459"/>
      <c r="H143" s="452">
        <f t="shared" si="12"/>
        <v>16050000</v>
      </c>
      <c r="I143" s="508">
        <v>31</v>
      </c>
      <c r="J143" s="455">
        <f t="shared" si="11"/>
        <v>91876.35616438356</v>
      </c>
      <c r="K143" s="438"/>
      <c r="L143" s="439"/>
      <c r="M143" s="439"/>
    </row>
    <row r="144" spans="2:13" ht="15.75">
      <c r="B144" s="461">
        <v>46721</v>
      </c>
      <c r="C144" s="449">
        <f t="shared" si="9"/>
        <v>0.0589</v>
      </c>
      <c r="D144" s="450">
        <f t="shared" si="10"/>
        <v>0.0085</v>
      </c>
      <c r="E144" s="451">
        <f t="shared" si="8"/>
        <v>0.0674</v>
      </c>
      <c r="F144" s="452"/>
      <c r="G144" s="459"/>
      <c r="H144" s="452">
        <f t="shared" si="12"/>
        <v>16050000</v>
      </c>
      <c r="I144" s="508">
        <v>30</v>
      </c>
      <c r="J144" s="455">
        <f t="shared" si="11"/>
        <v>88912.60273972603</v>
      </c>
      <c r="K144" s="439"/>
      <c r="L144" s="439"/>
      <c r="M144" s="439"/>
    </row>
    <row r="145" spans="2:13" ht="15.75">
      <c r="B145" s="461">
        <v>46750</v>
      </c>
      <c r="C145" s="449">
        <f t="shared" si="9"/>
        <v>0.0589</v>
      </c>
      <c r="D145" s="450">
        <f t="shared" si="10"/>
        <v>0.0085</v>
      </c>
      <c r="E145" s="451">
        <f t="shared" si="8"/>
        <v>0.0674</v>
      </c>
      <c r="F145" s="452"/>
      <c r="G145" s="459"/>
      <c r="H145" s="452">
        <f t="shared" si="12"/>
        <v>16050000</v>
      </c>
      <c r="I145" s="508">
        <v>29</v>
      </c>
      <c r="J145" s="455">
        <f t="shared" si="11"/>
        <v>85948.8493150685</v>
      </c>
      <c r="K145" s="439"/>
      <c r="L145" s="439"/>
      <c r="M145" s="439"/>
    </row>
    <row r="146" spans="2:13" ht="15.75">
      <c r="B146" s="458">
        <v>46751</v>
      </c>
      <c r="C146" s="449">
        <f t="shared" si="9"/>
        <v>0.0589</v>
      </c>
      <c r="D146" s="450">
        <f t="shared" si="10"/>
        <v>0.0085</v>
      </c>
      <c r="E146" s="451">
        <f t="shared" si="8"/>
        <v>0.0674</v>
      </c>
      <c r="F146" s="452"/>
      <c r="G146" s="459"/>
      <c r="H146" s="452">
        <f t="shared" si="12"/>
        <v>16050000</v>
      </c>
      <c r="I146" s="508">
        <v>1</v>
      </c>
      <c r="J146" s="455">
        <f t="shared" si="11"/>
        <v>2963.753424657534</v>
      </c>
      <c r="K146" s="439"/>
      <c r="L146" s="439"/>
      <c r="M146" s="439"/>
    </row>
    <row r="147" spans="2:13" ht="15.75">
      <c r="B147" s="517">
        <v>46752</v>
      </c>
      <c r="C147" s="518">
        <f t="shared" si="9"/>
        <v>0.0589</v>
      </c>
      <c r="D147" s="519">
        <f t="shared" si="10"/>
        <v>0.0085</v>
      </c>
      <c r="E147" s="520">
        <f t="shared" si="8"/>
        <v>0.0674</v>
      </c>
      <c r="F147" s="521"/>
      <c r="G147" s="522"/>
      <c r="H147" s="521">
        <f t="shared" si="12"/>
        <v>16050000</v>
      </c>
      <c r="I147" s="523">
        <v>1</v>
      </c>
      <c r="J147" s="524">
        <f t="shared" si="11"/>
        <v>2963.753424657534</v>
      </c>
      <c r="K147" s="439"/>
      <c r="L147" s="439"/>
      <c r="M147" s="439"/>
    </row>
    <row r="148" spans="2:13" ht="15.75">
      <c r="B148" s="479">
        <v>46783</v>
      </c>
      <c r="C148" s="421">
        <f t="shared" si="9"/>
        <v>0.0589</v>
      </c>
      <c r="D148" s="422">
        <f t="shared" si="10"/>
        <v>0.0085</v>
      </c>
      <c r="E148" s="423">
        <f aca="true" t="shared" si="13" ref="E148:E211">C148+D148</f>
        <v>0.0674</v>
      </c>
      <c r="F148" s="426"/>
      <c r="G148" s="425"/>
      <c r="H148" s="426">
        <f t="shared" si="12"/>
        <v>16050000</v>
      </c>
      <c r="I148" s="427">
        <v>31</v>
      </c>
      <c r="J148" s="428">
        <f t="shared" si="11"/>
        <v>91876.35616438356</v>
      </c>
      <c r="K148" s="438">
        <f>SUM(J148:J165)</f>
        <v>1066831.2054794522</v>
      </c>
      <c r="L148" s="438">
        <f>SUM(G148:G165)</f>
        <v>350000</v>
      </c>
      <c r="M148" s="439"/>
    </row>
    <row r="149" spans="2:13" ht="15.75">
      <c r="B149" s="481">
        <v>46812</v>
      </c>
      <c r="C149" s="482">
        <f aca="true" t="shared" si="14" ref="C149:C212">C148</f>
        <v>0.0589</v>
      </c>
      <c r="D149" s="483">
        <f aca="true" t="shared" si="15" ref="D149:D212">D148</f>
        <v>0.0085</v>
      </c>
      <c r="E149" s="484">
        <f t="shared" si="13"/>
        <v>0.0674</v>
      </c>
      <c r="F149" s="485"/>
      <c r="G149" s="489"/>
      <c r="H149" s="485">
        <f t="shared" si="12"/>
        <v>16050000</v>
      </c>
      <c r="I149" s="487">
        <v>29</v>
      </c>
      <c r="J149" s="488">
        <f t="shared" si="11"/>
        <v>85948.8493150685</v>
      </c>
      <c r="K149" s="439"/>
      <c r="L149" s="439"/>
      <c r="M149" s="439"/>
    </row>
    <row r="150" spans="2:13" ht="15.75">
      <c r="B150" s="481">
        <v>46841</v>
      </c>
      <c r="C150" s="482">
        <f t="shared" si="14"/>
        <v>0.0589</v>
      </c>
      <c r="D150" s="483">
        <f t="shared" si="15"/>
        <v>0.0085</v>
      </c>
      <c r="E150" s="484">
        <f t="shared" si="13"/>
        <v>0.0674</v>
      </c>
      <c r="F150" s="485"/>
      <c r="G150" s="489"/>
      <c r="H150" s="485">
        <f t="shared" si="12"/>
        <v>16050000</v>
      </c>
      <c r="I150" s="487">
        <v>29</v>
      </c>
      <c r="J150" s="488">
        <f t="shared" si="11"/>
        <v>85948.8493150685</v>
      </c>
      <c r="K150" s="439"/>
      <c r="L150" s="439"/>
      <c r="M150" s="439"/>
    </row>
    <row r="151" spans="2:13" ht="15.75">
      <c r="B151" s="490">
        <v>46842</v>
      </c>
      <c r="C151" s="482">
        <f t="shared" si="14"/>
        <v>0.0589</v>
      </c>
      <c r="D151" s="483">
        <f t="shared" si="15"/>
        <v>0.0085</v>
      </c>
      <c r="E151" s="484">
        <f t="shared" si="13"/>
        <v>0.0674</v>
      </c>
      <c r="F151" s="485"/>
      <c r="G151" s="489">
        <v>350000</v>
      </c>
      <c r="H151" s="485">
        <f t="shared" si="12"/>
        <v>15700000</v>
      </c>
      <c r="I151" s="487">
        <v>1</v>
      </c>
      <c r="J151" s="488">
        <f t="shared" si="11"/>
        <v>2899.123287671233</v>
      </c>
      <c r="K151" s="439"/>
      <c r="L151" s="439"/>
      <c r="M151" s="439"/>
    </row>
    <row r="152" spans="2:13" ht="15.75">
      <c r="B152" s="481">
        <v>46843</v>
      </c>
      <c r="C152" s="482">
        <f t="shared" si="14"/>
        <v>0.0589</v>
      </c>
      <c r="D152" s="483">
        <f t="shared" si="15"/>
        <v>0.0085</v>
      </c>
      <c r="E152" s="484">
        <f t="shared" si="13"/>
        <v>0.0674</v>
      </c>
      <c r="F152" s="485"/>
      <c r="G152" s="489"/>
      <c r="H152" s="485">
        <f t="shared" si="12"/>
        <v>15700000</v>
      </c>
      <c r="I152" s="487">
        <v>1</v>
      </c>
      <c r="J152" s="488">
        <f t="shared" si="11"/>
        <v>2899.123287671233</v>
      </c>
      <c r="K152" s="439"/>
      <c r="L152" s="439"/>
      <c r="M152" s="439"/>
    </row>
    <row r="153" spans="2:13" ht="15.75">
      <c r="B153" s="481">
        <v>46873</v>
      </c>
      <c r="C153" s="482">
        <f t="shared" si="14"/>
        <v>0.0589</v>
      </c>
      <c r="D153" s="483">
        <f t="shared" si="15"/>
        <v>0.0085</v>
      </c>
      <c r="E153" s="484">
        <f t="shared" si="13"/>
        <v>0.0674</v>
      </c>
      <c r="F153" s="485"/>
      <c r="G153" s="489"/>
      <c r="H153" s="485">
        <f t="shared" si="12"/>
        <v>15700000</v>
      </c>
      <c r="I153" s="487">
        <v>30</v>
      </c>
      <c r="J153" s="488">
        <f t="shared" si="11"/>
        <v>86973.69863013699</v>
      </c>
      <c r="K153" s="439"/>
      <c r="L153" s="439"/>
      <c r="M153" s="439"/>
    </row>
    <row r="154" spans="2:13" ht="15.75">
      <c r="B154" s="491">
        <v>46904</v>
      </c>
      <c r="C154" s="482">
        <f t="shared" si="14"/>
        <v>0.0589</v>
      </c>
      <c r="D154" s="483">
        <f t="shared" si="15"/>
        <v>0.0085</v>
      </c>
      <c r="E154" s="484">
        <f t="shared" si="13"/>
        <v>0.0674</v>
      </c>
      <c r="F154" s="485"/>
      <c r="G154" s="489"/>
      <c r="H154" s="485">
        <f t="shared" si="12"/>
        <v>15700000</v>
      </c>
      <c r="I154" s="487">
        <v>31</v>
      </c>
      <c r="J154" s="488">
        <f t="shared" si="11"/>
        <v>89872.82191780822</v>
      </c>
      <c r="K154" s="439"/>
      <c r="L154" s="439"/>
      <c r="M154" s="439"/>
    </row>
    <row r="155" spans="2:13" ht="15.75">
      <c r="B155" s="491">
        <v>46933</v>
      </c>
      <c r="C155" s="482">
        <f t="shared" si="14"/>
        <v>0.0589</v>
      </c>
      <c r="D155" s="483">
        <f t="shared" si="15"/>
        <v>0.0085</v>
      </c>
      <c r="E155" s="484">
        <f t="shared" si="13"/>
        <v>0.0674</v>
      </c>
      <c r="F155" s="498"/>
      <c r="G155" s="531"/>
      <c r="H155" s="485">
        <f t="shared" si="12"/>
        <v>15700000</v>
      </c>
      <c r="I155" s="493">
        <v>29</v>
      </c>
      <c r="J155" s="488">
        <f t="shared" si="11"/>
        <v>84074.57534246576</v>
      </c>
      <c r="K155" s="439"/>
      <c r="L155" s="439"/>
      <c r="M155" s="439"/>
    </row>
    <row r="156" spans="2:13" ht="15.75">
      <c r="B156" s="490">
        <v>46934</v>
      </c>
      <c r="C156" s="482">
        <f t="shared" si="14"/>
        <v>0.0589</v>
      </c>
      <c r="D156" s="483">
        <f t="shared" si="15"/>
        <v>0.0085</v>
      </c>
      <c r="E156" s="484">
        <f t="shared" si="13"/>
        <v>0.0674</v>
      </c>
      <c r="F156" s="485"/>
      <c r="G156" s="489"/>
      <c r="H156" s="485">
        <f t="shared" si="12"/>
        <v>15700000</v>
      </c>
      <c r="I156" s="487">
        <v>1</v>
      </c>
      <c r="J156" s="488">
        <f t="shared" si="11"/>
        <v>2899.123287671233</v>
      </c>
      <c r="K156" s="439"/>
      <c r="L156" s="439"/>
      <c r="M156" s="439"/>
    </row>
    <row r="157" spans="2:13" ht="15.75">
      <c r="B157" s="481">
        <v>46965</v>
      </c>
      <c r="C157" s="482">
        <f t="shared" si="14"/>
        <v>0.0589</v>
      </c>
      <c r="D157" s="483">
        <f t="shared" si="15"/>
        <v>0.0085</v>
      </c>
      <c r="E157" s="484">
        <f t="shared" si="13"/>
        <v>0.0674</v>
      </c>
      <c r="F157" s="485"/>
      <c r="G157" s="489"/>
      <c r="H157" s="485">
        <f t="shared" si="12"/>
        <v>15700000</v>
      </c>
      <c r="I157" s="487">
        <v>31</v>
      </c>
      <c r="J157" s="488">
        <f t="shared" si="11"/>
        <v>89872.82191780822</v>
      </c>
      <c r="K157" s="438"/>
      <c r="L157" s="439"/>
      <c r="M157" s="439"/>
    </row>
    <row r="158" spans="2:13" ht="15.75">
      <c r="B158" s="481">
        <v>46996</v>
      </c>
      <c r="C158" s="482">
        <f t="shared" si="14"/>
        <v>0.0589</v>
      </c>
      <c r="D158" s="483">
        <f t="shared" si="15"/>
        <v>0.0085</v>
      </c>
      <c r="E158" s="484">
        <f t="shared" si="13"/>
        <v>0.0674</v>
      </c>
      <c r="F158" s="485"/>
      <c r="G158" s="489"/>
      <c r="H158" s="485">
        <f t="shared" si="12"/>
        <v>15700000</v>
      </c>
      <c r="I158" s="493">
        <v>31</v>
      </c>
      <c r="J158" s="488">
        <f aca="true" t="shared" si="16" ref="J158:J221">H158*E158*I158/365</f>
        <v>89872.82191780822</v>
      </c>
      <c r="K158" s="439"/>
      <c r="L158" s="439"/>
      <c r="M158" s="439"/>
    </row>
    <row r="159" spans="2:13" ht="15.75">
      <c r="B159" s="481">
        <v>47025</v>
      </c>
      <c r="C159" s="482">
        <f t="shared" si="14"/>
        <v>0.0589</v>
      </c>
      <c r="D159" s="483">
        <f t="shared" si="15"/>
        <v>0.0085</v>
      </c>
      <c r="E159" s="484">
        <f t="shared" si="13"/>
        <v>0.0674</v>
      </c>
      <c r="F159" s="485"/>
      <c r="G159" s="489"/>
      <c r="H159" s="485">
        <f t="shared" si="12"/>
        <v>15700000</v>
      </c>
      <c r="I159" s="487">
        <v>29</v>
      </c>
      <c r="J159" s="488">
        <f t="shared" si="16"/>
        <v>84074.57534246576</v>
      </c>
      <c r="K159" s="439"/>
      <c r="L159" s="439"/>
      <c r="M159" s="439"/>
    </row>
    <row r="160" spans="2:13" ht="15.75">
      <c r="B160" s="490">
        <v>47026</v>
      </c>
      <c r="C160" s="482">
        <f t="shared" si="14"/>
        <v>0.0589</v>
      </c>
      <c r="D160" s="483">
        <f t="shared" si="15"/>
        <v>0.0085</v>
      </c>
      <c r="E160" s="484">
        <f t="shared" si="13"/>
        <v>0.0674</v>
      </c>
      <c r="F160" s="485"/>
      <c r="G160" s="489"/>
      <c r="H160" s="485">
        <f t="shared" si="12"/>
        <v>15700000</v>
      </c>
      <c r="I160" s="487">
        <v>1</v>
      </c>
      <c r="J160" s="488">
        <f t="shared" si="16"/>
        <v>2899.123287671233</v>
      </c>
      <c r="K160" s="439"/>
      <c r="L160" s="439"/>
      <c r="M160" s="439"/>
    </row>
    <row r="161" spans="2:13" ht="15.75">
      <c r="B161" s="491">
        <v>47057</v>
      </c>
      <c r="C161" s="482">
        <f t="shared" si="14"/>
        <v>0.0589</v>
      </c>
      <c r="D161" s="483">
        <f t="shared" si="15"/>
        <v>0.0085</v>
      </c>
      <c r="E161" s="484">
        <f t="shared" si="13"/>
        <v>0.0674</v>
      </c>
      <c r="F161" s="485"/>
      <c r="G161" s="489"/>
      <c r="H161" s="485">
        <f t="shared" si="12"/>
        <v>15700000</v>
      </c>
      <c r="I161" s="493">
        <v>31</v>
      </c>
      <c r="J161" s="488">
        <f t="shared" si="16"/>
        <v>89872.82191780822</v>
      </c>
      <c r="K161" s="439"/>
      <c r="L161" s="439"/>
      <c r="M161" s="439"/>
    </row>
    <row r="162" spans="2:13" ht="15.75">
      <c r="B162" s="491">
        <v>47087</v>
      </c>
      <c r="C162" s="482">
        <f t="shared" si="14"/>
        <v>0.0589</v>
      </c>
      <c r="D162" s="483">
        <f t="shared" si="15"/>
        <v>0.0085</v>
      </c>
      <c r="E162" s="484">
        <f t="shared" si="13"/>
        <v>0.0674</v>
      </c>
      <c r="F162" s="485"/>
      <c r="G162" s="489"/>
      <c r="H162" s="485">
        <f t="shared" si="12"/>
        <v>15700000</v>
      </c>
      <c r="I162" s="493">
        <v>30</v>
      </c>
      <c r="J162" s="488">
        <f t="shared" si="16"/>
        <v>86973.69863013699</v>
      </c>
      <c r="K162" s="439"/>
      <c r="L162" s="439"/>
      <c r="M162" s="439"/>
    </row>
    <row r="163" spans="2:13" ht="15.75">
      <c r="B163" s="491">
        <v>47116</v>
      </c>
      <c r="C163" s="482">
        <f t="shared" si="14"/>
        <v>0.0589</v>
      </c>
      <c r="D163" s="483">
        <f t="shared" si="15"/>
        <v>0.0085</v>
      </c>
      <c r="E163" s="484">
        <f t="shared" si="13"/>
        <v>0.0674</v>
      </c>
      <c r="F163" s="485"/>
      <c r="G163" s="489"/>
      <c r="H163" s="485">
        <f t="shared" si="12"/>
        <v>15700000</v>
      </c>
      <c r="I163" s="493">
        <v>29</v>
      </c>
      <c r="J163" s="488">
        <f t="shared" si="16"/>
        <v>84074.57534246576</v>
      </c>
      <c r="K163" s="439"/>
      <c r="L163" s="439"/>
      <c r="M163" s="439"/>
    </row>
    <row r="164" spans="2:13" ht="15.75">
      <c r="B164" s="490">
        <v>47117</v>
      </c>
      <c r="C164" s="482">
        <f t="shared" si="14"/>
        <v>0.0589</v>
      </c>
      <c r="D164" s="483">
        <f t="shared" si="15"/>
        <v>0.0085</v>
      </c>
      <c r="E164" s="484">
        <f t="shared" si="13"/>
        <v>0.0674</v>
      </c>
      <c r="F164" s="485"/>
      <c r="G164" s="489"/>
      <c r="H164" s="485">
        <f t="shared" si="12"/>
        <v>15700000</v>
      </c>
      <c r="I164" s="493">
        <v>1</v>
      </c>
      <c r="J164" s="488">
        <f t="shared" si="16"/>
        <v>2899.123287671233</v>
      </c>
      <c r="K164" s="439"/>
      <c r="L164" s="439"/>
      <c r="M164" s="439"/>
    </row>
    <row r="165" spans="2:13" ht="15.75">
      <c r="B165" s="430">
        <v>47118</v>
      </c>
      <c r="C165" s="431">
        <f t="shared" si="14"/>
        <v>0.0589</v>
      </c>
      <c r="D165" s="432">
        <f t="shared" si="15"/>
        <v>0.0085</v>
      </c>
      <c r="E165" s="433">
        <f t="shared" si="13"/>
        <v>0.0674</v>
      </c>
      <c r="F165" s="434"/>
      <c r="G165" s="534"/>
      <c r="H165" s="434">
        <f aca="true" t="shared" si="17" ref="H165:H228">H164-G165</f>
        <v>15700000</v>
      </c>
      <c r="I165" s="436">
        <v>1</v>
      </c>
      <c r="J165" s="437">
        <f t="shared" si="16"/>
        <v>2899.123287671233</v>
      </c>
      <c r="K165" s="439"/>
      <c r="L165" s="439"/>
      <c r="M165" s="439"/>
    </row>
    <row r="166" spans="1:13" ht="15.75">
      <c r="A166" s="412"/>
      <c r="B166" s="440">
        <v>47149</v>
      </c>
      <c r="C166" s="441">
        <f t="shared" si="14"/>
        <v>0.0589</v>
      </c>
      <c r="D166" s="442">
        <f t="shared" si="15"/>
        <v>0.0085</v>
      </c>
      <c r="E166" s="443">
        <f t="shared" si="13"/>
        <v>0.0674</v>
      </c>
      <c r="F166" s="444"/>
      <c r="G166" s="506"/>
      <c r="H166" s="444">
        <f t="shared" si="17"/>
        <v>15700000</v>
      </c>
      <c r="I166" s="446">
        <v>31</v>
      </c>
      <c r="J166" s="447">
        <f t="shared" si="16"/>
        <v>89872.82191780822</v>
      </c>
      <c r="K166" s="551">
        <f>SUM(J166:J183)</f>
        <v>1032466.4383561644</v>
      </c>
      <c r="L166" s="551">
        <f>SUM(G166:G183)</f>
        <v>1000000</v>
      </c>
      <c r="M166" s="439"/>
    </row>
    <row r="167" spans="1:13" ht="15.75">
      <c r="A167" s="412"/>
      <c r="B167" s="448">
        <v>47177</v>
      </c>
      <c r="C167" s="449">
        <f t="shared" si="14"/>
        <v>0.0589</v>
      </c>
      <c r="D167" s="450">
        <f t="shared" si="15"/>
        <v>0.0085</v>
      </c>
      <c r="E167" s="451">
        <f t="shared" si="13"/>
        <v>0.0674</v>
      </c>
      <c r="F167" s="452"/>
      <c r="G167" s="459"/>
      <c r="H167" s="452">
        <f t="shared" si="17"/>
        <v>15700000</v>
      </c>
      <c r="I167" s="454">
        <v>28</v>
      </c>
      <c r="J167" s="455">
        <f t="shared" si="16"/>
        <v>81175.45205479451</v>
      </c>
      <c r="K167" s="552"/>
      <c r="L167" s="553"/>
      <c r="M167" s="439"/>
    </row>
    <row r="168" spans="1:13" ht="15.75">
      <c r="A168" s="412"/>
      <c r="B168" s="448">
        <v>47206</v>
      </c>
      <c r="C168" s="449">
        <f t="shared" si="14"/>
        <v>0.0589</v>
      </c>
      <c r="D168" s="450">
        <f t="shared" si="15"/>
        <v>0.0085</v>
      </c>
      <c r="E168" s="451">
        <f t="shared" si="13"/>
        <v>0.0674</v>
      </c>
      <c r="F168" s="452"/>
      <c r="G168" s="459"/>
      <c r="H168" s="452">
        <f t="shared" si="17"/>
        <v>15700000</v>
      </c>
      <c r="I168" s="454">
        <v>29</v>
      </c>
      <c r="J168" s="455">
        <f t="shared" si="16"/>
        <v>84074.57534246576</v>
      </c>
      <c r="K168" s="553"/>
      <c r="L168" s="553"/>
      <c r="M168" s="439"/>
    </row>
    <row r="169" spans="1:13" ht="15.75">
      <c r="A169" s="412"/>
      <c r="B169" s="458">
        <v>47207</v>
      </c>
      <c r="C169" s="449">
        <f t="shared" si="14"/>
        <v>0.0589</v>
      </c>
      <c r="D169" s="450">
        <f t="shared" si="15"/>
        <v>0.0085</v>
      </c>
      <c r="E169" s="451">
        <f t="shared" si="13"/>
        <v>0.0674</v>
      </c>
      <c r="F169" s="452"/>
      <c r="G169" s="459">
        <v>250000</v>
      </c>
      <c r="H169" s="452">
        <f t="shared" si="17"/>
        <v>15450000</v>
      </c>
      <c r="I169" s="454">
        <v>1</v>
      </c>
      <c r="J169" s="455">
        <f t="shared" si="16"/>
        <v>2852.958904109589</v>
      </c>
      <c r="K169" s="553"/>
      <c r="L169" s="553"/>
      <c r="M169" s="439"/>
    </row>
    <row r="170" spans="1:13" ht="15.75">
      <c r="A170" s="412"/>
      <c r="B170" s="448">
        <v>47208</v>
      </c>
      <c r="C170" s="449">
        <f t="shared" si="14"/>
        <v>0.0589</v>
      </c>
      <c r="D170" s="450">
        <f t="shared" si="15"/>
        <v>0.0085</v>
      </c>
      <c r="E170" s="451">
        <f t="shared" si="13"/>
        <v>0.0674</v>
      </c>
      <c r="F170" s="452"/>
      <c r="G170" s="459"/>
      <c r="H170" s="452">
        <f t="shared" si="17"/>
        <v>15450000</v>
      </c>
      <c r="I170" s="454">
        <v>1</v>
      </c>
      <c r="J170" s="455">
        <f t="shared" si="16"/>
        <v>2852.958904109589</v>
      </c>
      <c r="K170" s="553"/>
      <c r="L170" s="553"/>
      <c r="M170" s="439"/>
    </row>
    <row r="171" spans="1:13" ht="15.75">
      <c r="A171" s="412"/>
      <c r="B171" s="448">
        <v>47238</v>
      </c>
      <c r="C171" s="449">
        <f t="shared" si="14"/>
        <v>0.0589</v>
      </c>
      <c r="D171" s="450">
        <f t="shared" si="15"/>
        <v>0.0085</v>
      </c>
      <c r="E171" s="451">
        <f t="shared" si="13"/>
        <v>0.0674</v>
      </c>
      <c r="F171" s="452"/>
      <c r="G171" s="459"/>
      <c r="H171" s="452">
        <f t="shared" si="17"/>
        <v>15450000</v>
      </c>
      <c r="I171" s="454">
        <v>30</v>
      </c>
      <c r="J171" s="455">
        <f t="shared" si="16"/>
        <v>85588.76712328767</v>
      </c>
      <c r="K171" s="553"/>
      <c r="L171" s="553"/>
      <c r="M171" s="439"/>
    </row>
    <row r="172" spans="1:13" ht="15.75">
      <c r="A172" s="412"/>
      <c r="B172" s="461">
        <v>47269</v>
      </c>
      <c r="C172" s="449">
        <f t="shared" si="14"/>
        <v>0.0589</v>
      </c>
      <c r="D172" s="450">
        <f t="shared" si="15"/>
        <v>0.0085</v>
      </c>
      <c r="E172" s="451">
        <f t="shared" si="13"/>
        <v>0.0674</v>
      </c>
      <c r="F172" s="452"/>
      <c r="G172" s="459"/>
      <c r="H172" s="452">
        <f t="shared" si="17"/>
        <v>15450000</v>
      </c>
      <c r="I172" s="454">
        <v>31</v>
      </c>
      <c r="J172" s="455">
        <f t="shared" si="16"/>
        <v>88441.72602739726</v>
      </c>
      <c r="K172" s="553"/>
      <c r="L172" s="553"/>
      <c r="M172" s="439"/>
    </row>
    <row r="173" spans="1:13" ht="15.75">
      <c r="A173" s="412"/>
      <c r="B173" s="461">
        <v>47298</v>
      </c>
      <c r="C173" s="449">
        <f t="shared" si="14"/>
        <v>0.0589</v>
      </c>
      <c r="D173" s="450">
        <f t="shared" si="15"/>
        <v>0.0085</v>
      </c>
      <c r="E173" s="451">
        <f t="shared" si="13"/>
        <v>0.0674</v>
      </c>
      <c r="F173" s="511"/>
      <c r="G173" s="512"/>
      <c r="H173" s="452">
        <f t="shared" si="17"/>
        <v>15450000</v>
      </c>
      <c r="I173" s="508">
        <v>29</v>
      </c>
      <c r="J173" s="455">
        <f t="shared" si="16"/>
        <v>82735.80821917808</v>
      </c>
      <c r="K173" s="553"/>
      <c r="L173" s="553"/>
      <c r="M173" s="439"/>
    </row>
    <row r="174" spans="1:13" ht="15.75">
      <c r="A174" s="412"/>
      <c r="B174" s="458">
        <v>47299</v>
      </c>
      <c r="C174" s="449">
        <f t="shared" si="14"/>
        <v>0.0589</v>
      </c>
      <c r="D174" s="450">
        <f t="shared" si="15"/>
        <v>0.0085</v>
      </c>
      <c r="E174" s="451">
        <f t="shared" si="13"/>
        <v>0.0674</v>
      </c>
      <c r="F174" s="452"/>
      <c r="G174" s="459">
        <v>250000</v>
      </c>
      <c r="H174" s="452">
        <f t="shared" si="17"/>
        <v>15200000</v>
      </c>
      <c r="I174" s="454">
        <v>1</v>
      </c>
      <c r="J174" s="455">
        <f t="shared" si="16"/>
        <v>2806.794520547945</v>
      </c>
      <c r="K174" s="553"/>
      <c r="L174" s="553"/>
      <c r="M174" s="439"/>
    </row>
    <row r="175" spans="1:13" ht="15.75">
      <c r="A175" s="412"/>
      <c r="B175" s="448">
        <v>47330</v>
      </c>
      <c r="C175" s="449">
        <f t="shared" si="14"/>
        <v>0.0589</v>
      </c>
      <c r="D175" s="450">
        <f t="shared" si="15"/>
        <v>0.0085</v>
      </c>
      <c r="E175" s="451">
        <f t="shared" si="13"/>
        <v>0.0674</v>
      </c>
      <c r="F175" s="452"/>
      <c r="G175" s="459"/>
      <c r="H175" s="452">
        <f t="shared" si="17"/>
        <v>15200000</v>
      </c>
      <c r="I175" s="454">
        <v>31</v>
      </c>
      <c r="J175" s="455">
        <f t="shared" si="16"/>
        <v>87010.6301369863</v>
      </c>
      <c r="K175" s="553"/>
      <c r="L175" s="553"/>
      <c r="M175" s="439"/>
    </row>
    <row r="176" spans="1:13" ht="15.75">
      <c r="A176" s="412"/>
      <c r="B176" s="448">
        <v>47361</v>
      </c>
      <c r="C176" s="449">
        <f t="shared" si="14"/>
        <v>0.0589</v>
      </c>
      <c r="D176" s="450">
        <f t="shared" si="15"/>
        <v>0.0085</v>
      </c>
      <c r="E176" s="451">
        <f t="shared" si="13"/>
        <v>0.0674</v>
      </c>
      <c r="F176" s="452"/>
      <c r="G176" s="459"/>
      <c r="H176" s="452">
        <f t="shared" si="17"/>
        <v>15200000</v>
      </c>
      <c r="I176" s="508">
        <v>31</v>
      </c>
      <c r="J176" s="455">
        <f t="shared" si="16"/>
        <v>87010.6301369863</v>
      </c>
      <c r="K176" s="553"/>
      <c r="L176" s="553"/>
      <c r="M176" s="439"/>
    </row>
    <row r="177" spans="1:13" ht="15.75">
      <c r="A177" s="412"/>
      <c r="B177" s="448">
        <v>47390</v>
      </c>
      <c r="C177" s="449">
        <f t="shared" si="14"/>
        <v>0.0589</v>
      </c>
      <c r="D177" s="450">
        <f t="shared" si="15"/>
        <v>0.0085</v>
      </c>
      <c r="E177" s="451">
        <f t="shared" si="13"/>
        <v>0.0674</v>
      </c>
      <c r="F177" s="452"/>
      <c r="G177" s="459"/>
      <c r="H177" s="452">
        <f t="shared" si="17"/>
        <v>15200000</v>
      </c>
      <c r="I177" s="454">
        <v>29</v>
      </c>
      <c r="J177" s="455">
        <f t="shared" si="16"/>
        <v>81397.04109589041</v>
      </c>
      <c r="K177" s="553"/>
      <c r="L177" s="553"/>
      <c r="M177" s="439"/>
    </row>
    <row r="178" spans="1:13" ht="15.75">
      <c r="A178" s="412"/>
      <c r="B178" s="458">
        <v>47391</v>
      </c>
      <c r="C178" s="449">
        <f t="shared" si="14"/>
        <v>0.0589</v>
      </c>
      <c r="D178" s="450">
        <f t="shared" si="15"/>
        <v>0.0085</v>
      </c>
      <c r="E178" s="451">
        <f t="shared" si="13"/>
        <v>0.0674</v>
      </c>
      <c r="F178" s="452"/>
      <c r="G178" s="459">
        <v>250000</v>
      </c>
      <c r="H178" s="452">
        <f t="shared" si="17"/>
        <v>14950000</v>
      </c>
      <c r="I178" s="454">
        <v>1</v>
      </c>
      <c r="J178" s="455">
        <f t="shared" si="16"/>
        <v>2760.6301369863013</v>
      </c>
      <c r="K178" s="553"/>
      <c r="L178" s="553"/>
      <c r="M178" s="439"/>
    </row>
    <row r="179" spans="1:13" ht="15.75">
      <c r="A179" s="412"/>
      <c r="B179" s="461">
        <v>47422</v>
      </c>
      <c r="C179" s="449">
        <f t="shared" si="14"/>
        <v>0.0589</v>
      </c>
      <c r="D179" s="450">
        <f t="shared" si="15"/>
        <v>0.0085</v>
      </c>
      <c r="E179" s="451">
        <f t="shared" si="13"/>
        <v>0.0674</v>
      </c>
      <c r="F179" s="452"/>
      <c r="G179" s="459"/>
      <c r="H179" s="452">
        <f t="shared" si="17"/>
        <v>14950000</v>
      </c>
      <c r="I179" s="508">
        <v>31</v>
      </c>
      <c r="J179" s="455">
        <f t="shared" si="16"/>
        <v>85579.53424657535</v>
      </c>
      <c r="K179" s="553"/>
      <c r="L179" s="553"/>
      <c r="M179" s="439"/>
    </row>
    <row r="180" spans="1:13" ht="15.75">
      <c r="A180" s="412"/>
      <c r="B180" s="461">
        <v>47452</v>
      </c>
      <c r="C180" s="449">
        <f t="shared" si="14"/>
        <v>0.0589</v>
      </c>
      <c r="D180" s="450">
        <f t="shared" si="15"/>
        <v>0.0085</v>
      </c>
      <c r="E180" s="451">
        <f t="shared" si="13"/>
        <v>0.0674</v>
      </c>
      <c r="F180" s="452"/>
      <c r="G180" s="459"/>
      <c r="H180" s="452">
        <f t="shared" si="17"/>
        <v>14950000</v>
      </c>
      <c r="I180" s="508">
        <v>30</v>
      </c>
      <c r="J180" s="455">
        <f t="shared" si="16"/>
        <v>82818.90410958904</v>
      </c>
      <c r="K180" s="553"/>
      <c r="L180" s="553"/>
      <c r="M180" s="439"/>
    </row>
    <row r="181" spans="1:13" ht="15.75">
      <c r="A181" s="412"/>
      <c r="B181" s="461">
        <v>47481</v>
      </c>
      <c r="C181" s="449">
        <f t="shared" si="14"/>
        <v>0.0589</v>
      </c>
      <c r="D181" s="450">
        <f t="shared" si="15"/>
        <v>0.0085</v>
      </c>
      <c r="E181" s="451">
        <f t="shared" si="13"/>
        <v>0.0674</v>
      </c>
      <c r="F181" s="452"/>
      <c r="G181" s="459"/>
      <c r="H181" s="452">
        <f t="shared" si="17"/>
        <v>14950000</v>
      </c>
      <c r="I181" s="508">
        <v>29</v>
      </c>
      <c r="J181" s="455">
        <f t="shared" si="16"/>
        <v>80058.27397260274</v>
      </c>
      <c r="K181" s="553"/>
      <c r="L181" s="553"/>
      <c r="M181" s="439"/>
    </row>
    <row r="182" spans="1:13" ht="15.75">
      <c r="A182" s="412"/>
      <c r="B182" s="458">
        <v>47482</v>
      </c>
      <c r="C182" s="449">
        <f t="shared" si="14"/>
        <v>0.0589</v>
      </c>
      <c r="D182" s="450">
        <f t="shared" si="15"/>
        <v>0.0085</v>
      </c>
      <c r="E182" s="451">
        <f t="shared" si="13"/>
        <v>0.0674</v>
      </c>
      <c r="F182" s="452"/>
      <c r="G182" s="459">
        <v>250000</v>
      </c>
      <c r="H182" s="452">
        <f t="shared" si="17"/>
        <v>14700000</v>
      </c>
      <c r="I182" s="508">
        <v>1</v>
      </c>
      <c r="J182" s="455">
        <f t="shared" si="16"/>
        <v>2714.4657534246576</v>
      </c>
      <c r="K182" s="553"/>
      <c r="L182" s="553"/>
      <c r="M182" s="439"/>
    </row>
    <row r="183" spans="1:13" ht="15.75">
      <c r="A183" s="409"/>
      <c r="B183" s="469">
        <v>47483</v>
      </c>
      <c r="C183" s="470">
        <f t="shared" si="14"/>
        <v>0.0589</v>
      </c>
      <c r="D183" s="471">
        <f t="shared" si="15"/>
        <v>0.0085</v>
      </c>
      <c r="E183" s="472">
        <f t="shared" si="13"/>
        <v>0.0674</v>
      </c>
      <c r="F183" s="473"/>
      <c r="G183" s="554"/>
      <c r="H183" s="473">
        <f t="shared" si="17"/>
        <v>14700000</v>
      </c>
      <c r="I183" s="475">
        <v>1</v>
      </c>
      <c r="J183" s="476">
        <f t="shared" si="16"/>
        <v>2714.4657534246576</v>
      </c>
      <c r="K183" s="438"/>
      <c r="L183" s="439"/>
      <c r="M183" s="439"/>
    </row>
    <row r="184" spans="1:13" ht="15.75">
      <c r="A184" s="409"/>
      <c r="B184" s="479">
        <v>47514</v>
      </c>
      <c r="C184" s="421">
        <f t="shared" si="14"/>
        <v>0.0589</v>
      </c>
      <c r="D184" s="422">
        <f t="shared" si="15"/>
        <v>0.0085</v>
      </c>
      <c r="E184" s="423">
        <f t="shared" si="13"/>
        <v>0.0674</v>
      </c>
      <c r="F184" s="426"/>
      <c r="G184" s="425"/>
      <c r="H184" s="426">
        <f t="shared" si="17"/>
        <v>14700000</v>
      </c>
      <c r="I184" s="427">
        <v>31</v>
      </c>
      <c r="J184" s="428">
        <f t="shared" si="16"/>
        <v>84148.43835616438</v>
      </c>
      <c r="K184" s="438">
        <f>SUM(J184:J201)</f>
        <v>965066.4383561644</v>
      </c>
      <c r="L184" s="438">
        <f>SUM(G184:G201)</f>
        <v>1000000</v>
      </c>
      <c r="M184" s="439"/>
    </row>
    <row r="185" spans="1:13" ht="15.75">
      <c r="A185" s="409"/>
      <c r="B185" s="481">
        <v>47542</v>
      </c>
      <c r="C185" s="482">
        <f t="shared" si="14"/>
        <v>0.0589</v>
      </c>
      <c r="D185" s="483">
        <f t="shared" si="15"/>
        <v>0.0085</v>
      </c>
      <c r="E185" s="484">
        <f t="shared" si="13"/>
        <v>0.0674</v>
      </c>
      <c r="F185" s="485"/>
      <c r="G185" s="489"/>
      <c r="H185" s="485">
        <f t="shared" si="17"/>
        <v>14700000</v>
      </c>
      <c r="I185" s="487">
        <v>28</v>
      </c>
      <c r="J185" s="488">
        <f t="shared" si="16"/>
        <v>76005.04109589041</v>
      </c>
      <c r="K185" s="439"/>
      <c r="L185" s="439"/>
      <c r="M185" s="439"/>
    </row>
    <row r="186" spans="1:13" ht="15.75">
      <c r="A186" s="409"/>
      <c r="B186" s="481">
        <v>47571</v>
      </c>
      <c r="C186" s="482">
        <f t="shared" si="14"/>
        <v>0.0589</v>
      </c>
      <c r="D186" s="483">
        <f t="shared" si="15"/>
        <v>0.0085</v>
      </c>
      <c r="E186" s="484">
        <f t="shared" si="13"/>
        <v>0.0674</v>
      </c>
      <c r="F186" s="485"/>
      <c r="G186" s="489"/>
      <c r="H186" s="485">
        <f t="shared" si="17"/>
        <v>14700000</v>
      </c>
      <c r="I186" s="487">
        <v>29</v>
      </c>
      <c r="J186" s="488">
        <f t="shared" si="16"/>
        <v>78719.50684931508</v>
      </c>
      <c r="K186" s="439"/>
      <c r="L186" s="439"/>
      <c r="M186" s="439"/>
    </row>
    <row r="187" spans="1:13" ht="15.75">
      <c r="A187" s="409"/>
      <c r="B187" s="490">
        <v>47572</v>
      </c>
      <c r="C187" s="482">
        <f t="shared" si="14"/>
        <v>0.0589</v>
      </c>
      <c r="D187" s="483">
        <f t="shared" si="15"/>
        <v>0.0085</v>
      </c>
      <c r="E187" s="484">
        <f t="shared" si="13"/>
        <v>0.0674</v>
      </c>
      <c r="F187" s="485"/>
      <c r="G187" s="489">
        <v>250000</v>
      </c>
      <c r="H187" s="485">
        <f t="shared" si="17"/>
        <v>14450000</v>
      </c>
      <c r="I187" s="487">
        <v>1</v>
      </c>
      <c r="J187" s="488">
        <f t="shared" si="16"/>
        <v>2668.301369863014</v>
      </c>
      <c r="K187" s="439"/>
      <c r="L187" s="439"/>
      <c r="M187" s="439"/>
    </row>
    <row r="188" spans="1:13" ht="15.75">
      <c r="A188" s="409"/>
      <c r="B188" s="481">
        <v>47573</v>
      </c>
      <c r="C188" s="482">
        <f t="shared" si="14"/>
        <v>0.0589</v>
      </c>
      <c r="D188" s="483">
        <f t="shared" si="15"/>
        <v>0.0085</v>
      </c>
      <c r="E188" s="484">
        <f t="shared" si="13"/>
        <v>0.0674</v>
      </c>
      <c r="F188" s="485"/>
      <c r="G188" s="489"/>
      <c r="H188" s="485">
        <f t="shared" si="17"/>
        <v>14450000</v>
      </c>
      <c r="I188" s="487">
        <v>1</v>
      </c>
      <c r="J188" s="488">
        <f t="shared" si="16"/>
        <v>2668.301369863014</v>
      </c>
      <c r="K188" s="439"/>
      <c r="L188" s="439"/>
      <c r="M188" s="439"/>
    </row>
    <row r="189" spans="1:13" ht="15.75">
      <c r="A189" s="409"/>
      <c r="B189" s="481">
        <v>47603</v>
      </c>
      <c r="C189" s="482">
        <f t="shared" si="14"/>
        <v>0.0589</v>
      </c>
      <c r="D189" s="483">
        <f t="shared" si="15"/>
        <v>0.0085</v>
      </c>
      <c r="E189" s="484">
        <f t="shared" si="13"/>
        <v>0.0674</v>
      </c>
      <c r="F189" s="485"/>
      <c r="G189" s="489"/>
      <c r="H189" s="485">
        <f t="shared" si="17"/>
        <v>14450000</v>
      </c>
      <c r="I189" s="487">
        <v>30</v>
      </c>
      <c r="J189" s="488">
        <f t="shared" si="16"/>
        <v>80049.04109589041</v>
      </c>
      <c r="K189" s="439"/>
      <c r="L189" s="439"/>
      <c r="M189" s="439"/>
    </row>
    <row r="190" spans="1:13" ht="15.75">
      <c r="A190" s="409"/>
      <c r="B190" s="491">
        <v>47634</v>
      </c>
      <c r="C190" s="482">
        <f t="shared" si="14"/>
        <v>0.0589</v>
      </c>
      <c r="D190" s="483">
        <f t="shared" si="15"/>
        <v>0.0085</v>
      </c>
      <c r="E190" s="484">
        <f t="shared" si="13"/>
        <v>0.0674</v>
      </c>
      <c r="F190" s="485"/>
      <c r="G190" s="489"/>
      <c r="H190" s="485">
        <f t="shared" si="17"/>
        <v>14450000</v>
      </c>
      <c r="I190" s="487">
        <v>31</v>
      </c>
      <c r="J190" s="488">
        <f t="shared" si="16"/>
        <v>82717.34246575342</v>
      </c>
      <c r="K190" s="439"/>
      <c r="L190" s="439"/>
      <c r="M190" s="439"/>
    </row>
    <row r="191" spans="1:13" ht="15.75">
      <c r="A191" s="409"/>
      <c r="B191" s="491">
        <v>47663</v>
      </c>
      <c r="C191" s="482">
        <f t="shared" si="14"/>
        <v>0.0589</v>
      </c>
      <c r="D191" s="483">
        <f t="shared" si="15"/>
        <v>0.0085</v>
      </c>
      <c r="E191" s="484">
        <f t="shared" si="13"/>
        <v>0.0674</v>
      </c>
      <c r="F191" s="498"/>
      <c r="G191" s="531"/>
      <c r="H191" s="485">
        <f t="shared" si="17"/>
        <v>14450000</v>
      </c>
      <c r="I191" s="493">
        <v>29</v>
      </c>
      <c r="J191" s="488">
        <f t="shared" si="16"/>
        <v>77380.7397260274</v>
      </c>
      <c r="K191" s="439"/>
      <c r="L191" s="439"/>
      <c r="M191" s="439"/>
    </row>
    <row r="192" spans="1:13" ht="15.75">
      <c r="A192" s="409"/>
      <c r="B192" s="490">
        <v>47664</v>
      </c>
      <c r="C192" s="482">
        <f t="shared" si="14"/>
        <v>0.0589</v>
      </c>
      <c r="D192" s="483">
        <f t="shared" si="15"/>
        <v>0.0085</v>
      </c>
      <c r="E192" s="484">
        <f t="shared" si="13"/>
        <v>0.0674</v>
      </c>
      <c r="F192" s="485"/>
      <c r="G192" s="489">
        <v>250000</v>
      </c>
      <c r="H192" s="485">
        <f t="shared" si="17"/>
        <v>14200000</v>
      </c>
      <c r="I192" s="487">
        <v>1</v>
      </c>
      <c r="J192" s="488">
        <f t="shared" si="16"/>
        <v>2622.1369863013697</v>
      </c>
      <c r="K192" s="439"/>
      <c r="L192" s="439"/>
      <c r="M192" s="439"/>
    </row>
    <row r="193" spans="1:13" ht="15.75">
      <c r="A193" s="409"/>
      <c r="B193" s="481">
        <v>47695</v>
      </c>
      <c r="C193" s="482">
        <f t="shared" si="14"/>
        <v>0.0589</v>
      </c>
      <c r="D193" s="483">
        <f t="shared" si="15"/>
        <v>0.0085</v>
      </c>
      <c r="E193" s="484">
        <f t="shared" si="13"/>
        <v>0.0674</v>
      </c>
      <c r="F193" s="485"/>
      <c r="G193" s="489"/>
      <c r="H193" s="485">
        <f t="shared" si="17"/>
        <v>14200000</v>
      </c>
      <c r="I193" s="487">
        <v>31</v>
      </c>
      <c r="J193" s="488">
        <f t="shared" si="16"/>
        <v>81286.24657534246</v>
      </c>
      <c r="K193" s="439"/>
      <c r="L193" s="439"/>
      <c r="M193" s="439"/>
    </row>
    <row r="194" spans="2:13" ht="15.75">
      <c r="B194" s="481">
        <v>47726</v>
      </c>
      <c r="C194" s="482">
        <f t="shared" si="14"/>
        <v>0.0589</v>
      </c>
      <c r="D194" s="483">
        <f t="shared" si="15"/>
        <v>0.0085</v>
      </c>
      <c r="E194" s="484">
        <f t="shared" si="13"/>
        <v>0.0674</v>
      </c>
      <c r="F194" s="485"/>
      <c r="G194" s="489"/>
      <c r="H194" s="485">
        <f t="shared" si="17"/>
        <v>14200000</v>
      </c>
      <c r="I194" s="493">
        <v>31</v>
      </c>
      <c r="J194" s="488">
        <f t="shared" si="16"/>
        <v>81286.24657534246</v>
      </c>
      <c r="K194" s="439"/>
      <c r="L194" s="439"/>
      <c r="M194" s="439"/>
    </row>
    <row r="195" spans="2:13" ht="15.75">
      <c r="B195" s="481">
        <v>47755</v>
      </c>
      <c r="C195" s="482">
        <f t="shared" si="14"/>
        <v>0.0589</v>
      </c>
      <c r="D195" s="483">
        <f t="shared" si="15"/>
        <v>0.0085</v>
      </c>
      <c r="E195" s="484">
        <f t="shared" si="13"/>
        <v>0.0674</v>
      </c>
      <c r="F195" s="485"/>
      <c r="G195" s="489"/>
      <c r="H195" s="485">
        <f t="shared" si="17"/>
        <v>14200000</v>
      </c>
      <c r="I195" s="487">
        <v>29</v>
      </c>
      <c r="J195" s="488">
        <f t="shared" si="16"/>
        <v>76041.97260273973</v>
      </c>
      <c r="K195" s="439"/>
      <c r="L195" s="439"/>
      <c r="M195" s="439"/>
    </row>
    <row r="196" spans="2:13" ht="15.75">
      <c r="B196" s="490">
        <v>47756</v>
      </c>
      <c r="C196" s="482">
        <f t="shared" si="14"/>
        <v>0.0589</v>
      </c>
      <c r="D196" s="483">
        <f t="shared" si="15"/>
        <v>0.0085</v>
      </c>
      <c r="E196" s="484">
        <f t="shared" si="13"/>
        <v>0.0674</v>
      </c>
      <c r="F196" s="485"/>
      <c r="G196" s="489">
        <v>250000</v>
      </c>
      <c r="H196" s="485">
        <f t="shared" si="17"/>
        <v>13950000</v>
      </c>
      <c r="I196" s="487">
        <v>1</v>
      </c>
      <c r="J196" s="488">
        <f t="shared" si="16"/>
        <v>2575.972602739726</v>
      </c>
      <c r="K196" s="439"/>
      <c r="L196" s="439"/>
      <c r="M196" s="439"/>
    </row>
    <row r="197" spans="2:10" ht="15.75">
      <c r="B197" s="491">
        <v>47787</v>
      </c>
      <c r="C197" s="482">
        <f t="shared" si="14"/>
        <v>0.0589</v>
      </c>
      <c r="D197" s="483">
        <f t="shared" si="15"/>
        <v>0.0085</v>
      </c>
      <c r="E197" s="484">
        <f t="shared" si="13"/>
        <v>0.0674</v>
      </c>
      <c r="F197" s="485"/>
      <c r="G197" s="489"/>
      <c r="H197" s="485">
        <f t="shared" si="17"/>
        <v>13950000</v>
      </c>
      <c r="I197" s="493">
        <v>31</v>
      </c>
      <c r="J197" s="488">
        <f t="shared" si="16"/>
        <v>79855.1506849315</v>
      </c>
    </row>
    <row r="198" spans="2:10" ht="15.75">
      <c r="B198" s="491">
        <v>47817</v>
      </c>
      <c r="C198" s="482">
        <f t="shared" si="14"/>
        <v>0.0589</v>
      </c>
      <c r="D198" s="483">
        <f t="shared" si="15"/>
        <v>0.0085</v>
      </c>
      <c r="E198" s="484">
        <f t="shared" si="13"/>
        <v>0.0674</v>
      </c>
      <c r="F198" s="485"/>
      <c r="G198" s="489"/>
      <c r="H198" s="485">
        <f t="shared" si="17"/>
        <v>13950000</v>
      </c>
      <c r="I198" s="493">
        <v>30</v>
      </c>
      <c r="J198" s="488">
        <f t="shared" si="16"/>
        <v>77279.17808219178</v>
      </c>
    </row>
    <row r="199" spans="2:10" ht="15.75">
      <c r="B199" s="491">
        <v>47846</v>
      </c>
      <c r="C199" s="482">
        <f t="shared" si="14"/>
        <v>0.0589</v>
      </c>
      <c r="D199" s="483">
        <f t="shared" si="15"/>
        <v>0.0085</v>
      </c>
      <c r="E199" s="484">
        <f t="shared" si="13"/>
        <v>0.0674</v>
      </c>
      <c r="F199" s="485"/>
      <c r="G199" s="489"/>
      <c r="H199" s="485">
        <f t="shared" si="17"/>
        <v>13950000</v>
      </c>
      <c r="I199" s="493">
        <v>29</v>
      </c>
      <c r="J199" s="488">
        <f t="shared" si="16"/>
        <v>74703.20547945205</v>
      </c>
    </row>
    <row r="200" spans="2:10" ht="15.75">
      <c r="B200" s="490">
        <v>47847</v>
      </c>
      <c r="C200" s="482">
        <f t="shared" si="14"/>
        <v>0.0589</v>
      </c>
      <c r="D200" s="483">
        <f t="shared" si="15"/>
        <v>0.0085</v>
      </c>
      <c r="E200" s="484">
        <f t="shared" si="13"/>
        <v>0.0674</v>
      </c>
      <c r="F200" s="485"/>
      <c r="G200" s="489">
        <v>250000</v>
      </c>
      <c r="H200" s="485">
        <f t="shared" si="17"/>
        <v>13700000</v>
      </c>
      <c r="I200" s="493">
        <v>1</v>
      </c>
      <c r="J200" s="488">
        <f t="shared" si="16"/>
        <v>2529.8082191780823</v>
      </c>
    </row>
    <row r="201" spans="2:10" ht="15.75">
      <c r="B201" s="430">
        <v>47848</v>
      </c>
      <c r="C201" s="431">
        <f t="shared" si="14"/>
        <v>0.0589</v>
      </c>
      <c r="D201" s="432">
        <f t="shared" si="15"/>
        <v>0.0085</v>
      </c>
      <c r="E201" s="433">
        <f t="shared" si="13"/>
        <v>0.0674</v>
      </c>
      <c r="F201" s="434"/>
      <c r="G201" s="534"/>
      <c r="H201" s="434">
        <f t="shared" si="17"/>
        <v>13700000</v>
      </c>
      <c r="I201" s="436">
        <v>1</v>
      </c>
      <c r="J201" s="437">
        <f t="shared" si="16"/>
        <v>2529.8082191780823</v>
      </c>
    </row>
    <row r="202" spans="2:12" ht="15.75">
      <c r="B202" s="440">
        <v>47879</v>
      </c>
      <c r="C202" s="441">
        <f t="shared" si="14"/>
        <v>0.0589</v>
      </c>
      <c r="D202" s="442">
        <f t="shared" si="15"/>
        <v>0.0085</v>
      </c>
      <c r="E202" s="443">
        <f t="shared" si="13"/>
        <v>0.0674</v>
      </c>
      <c r="F202" s="444"/>
      <c r="G202" s="506"/>
      <c r="H202" s="444">
        <f t="shared" si="17"/>
        <v>13700000</v>
      </c>
      <c r="I202" s="446">
        <v>31</v>
      </c>
      <c r="J202" s="447">
        <f t="shared" si="16"/>
        <v>78424.05479452055</v>
      </c>
      <c r="K202" s="555">
        <f>SUM(J202:J219)</f>
        <v>897666.4383561645</v>
      </c>
      <c r="L202" s="555">
        <f>SUM(G202:G219)</f>
        <v>1000000</v>
      </c>
    </row>
    <row r="203" spans="2:10" ht="15.75">
      <c r="B203" s="448">
        <v>47907</v>
      </c>
      <c r="C203" s="449">
        <f t="shared" si="14"/>
        <v>0.0589</v>
      </c>
      <c r="D203" s="450">
        <f t="shared" si="15"/>
        <v>0.0085</v>
      </c>
      <c r="E203" s="451">
        <f t="shared" si="13"/>
        <v>0.0674</v>
      </c>
      <c r="F203" s="452"/>
      <c r="G203" s="459"/>
      <c r="H203" s="452">
        <f t="shared" si="17"/>
        <v>13700000</v>
      </c>
      <c r="I203" s="454">
        <v>28</v>
      </c>
      <c r="J203" s="455">
        <f t="shared" si="16"/>
        <v>70834.6301369863</v>
      </c>
    </row>
    <row r="204" spans="2:10" ht="15.75">
      <c r="B204" s="448">
        <v>47936</v>
      </c>
      <c r="C204" s="449">
        <f t="shared" si="14"/>
        <v>0.0589</v>
      </c>
      <c r="D204" s="450">
        <f t="shared" si="15"/>
        <v>0.0085</v>
      </c>
      <c r="E204" s="451">
        <f t="shared" si="13"/>
        <v>0.0674</v>
      </c>
      <c r="F204" s="452"/>
      <c r="G204" s="459"/>
      <c r="H204" s="452">
        <f t="shared" si="17"/>
        <v>13700000</v>
      </c>
      <c r="I204" s="454">
        <v>29</v>
      </c>
      <c r="J204" s="455">
        <f t="shared" si="16"/>
        <v>73364.43835616438</v>
      </c>
    </row>
    <row r="205" spans="2:10" ht="15.75">
      <c r="B205" s="458">
        <v>47937</v>
      </c>
      <c r="C205" s="449">
        <f t="shared" si="14"/>
        <v>0.0589</v>
      </c>
      <c r="D205" s="450">
        <f t="shared" si="15"/>
        <v>0.0085</v>
      </c>
      <c r="E205" s="451">
        <f t="shared" si="13"/>
        <v>0.0674</v>
      </c>
      <c r="F205" s="452"/>
      <c r="G205" s="459">
        <v>250000</v>
      </c>
      <c r="H205" s="452">
        <f t="shared" si="17"/>
        <v>13450000</v>
      </c>
      <c r="I205" s="454">
        <v>1</v>
      </c>
      <c r="J205" s="455">
        <f t="shared" si="16"/>
        <v>2483.6438356164385</v>
      </c>
    </row>
    <row r="206" spans="2:10" ht="15.75">
      <c r="B206" s="448">
        <v>47938</v>
      </c>
      <c r="C206" s="449">
        <f t="shared" si="14"/>
        <v>0.0589</v>
      </c>
      <c r="D206" s="450">
        <f t="shared" si="15"/>
        <v>0.0085</v>
      </c>
      <c r="E206" s="451">
        <f t="shared" si="13"/>
        <v>0.0674</v>
      </c>
      <c r="F206" s="452"/>
      <c r="G206" s="459"/>
      <c r="H206" s="452">
        <f t="shared" si="17"/>
        <v>13450000</v>
      </c>
      <c r="I206" s="454">
        <v>1</v>
      </c>
      <c r="J206" s="455">
        <f t="shared" si="16"/>
        <v>2483.6438356164385</v>
      </c>
    </row>
    <row r="207" spans="2:10" ht="15.75">
      <c r="B207" s="448">
        <v>47968</v>
      </c>
      <c r="C207" s="449">
        <f t="shared" si="14"/>
        <v>0.0589</v>
      </c>
      <c r="D207" s="450">
        <f t="shared" si="15"/>
        <v>0.0085</v>
      </c>
      <c r="E207" s="451">
        <f t="shared" si="13"/>
        <v>0.0674</v>
      </c>
      <c r="F207" s="452"/>
      <c r="G207" s="459"/>
      <c r="H207" s="452">
        <f t="shared" si="17"/>
        <v>13450000</v>
      </c>
      <c r="I207" s="454">
        <v>30</v>
      </c>
      <c r="J207" s="455">
        <f t="shared" si="16"/>
        <v>74509.31506849315</v>
      </c>
    </row>
    <row r="208" spans="2:10" ht="15.75">
      <c r="B208" s="461">
        <v>47999</v>
      </c>
      <c r="C208" s="449">
        <f t="shared" si="14"/>
        <v>0.0589</v>
      </c>
      <c r="D208" s="450">
        <f t="shared" si="15"/>
        <v>0.0085</v>
      </c>
      <c r="E208" s="451">
        <f t="shared" si="13"/>
        <v>0.0674</v>
      </c>
      <c r="F208" s="452"/>
      <c r="G208" s="459"/>
      <c r="H208" s="452">
        <f t="shared" si="17"/>
        <v>13450000</v>
      </c>
      <c r="I208" s="454">
        <v>31</v>
      </c>
      <c r="J208" s="455">
        <f t="shared" si="16"/>
        <v>76992.95890410959</v>
      </c>
    </row>
    <row r="209" spans="2:10" ht="15.75">
      <c r="B209" s="461">
        <v>48028</v>
      </c>
      <c r="C209" s="449">
        <f t="shared" si="14"/>
        <v>0.0589</v>
      </c>
      <c r="D209" s="450">
        <f t="shared" si="15"/>
        <v>0.0085</v>
      </c>
      <c r="E209" s="451">
        <f t="shared" si="13"/>
        <v>0.0674</v>
      </c>
      <c r="F209" s="511"/>
      <c r="G209" s="512"/>
      <c r="H209" s="452">
        <f t="shared" si="17"/>
        <v>13450000</v>
      </c>
      <c r="I209" s="508">
        <v>29</v>
      </c>
      <c r="J209" s="455">
        <f t="shared" si="16"/>
        <v>72025.67123287672</v>
      </c>
    </row>
    <row r="210" spans="2:10" ht="15.75">
      <c r="B210" s="458">
        <v>48029</v>
      </c>
      <c r="C210" s="449">
        <f t="shared" si="14"/>
        <v>0.0589</v>
      </c>
      <c r="D210" s="450">
        <f t="shared" si="15"/>
        <v>0.0085</v>
      </c>
      <c r="E210" s="451">
        <f t="shared" si="13"/>
        <v>0.0674</v>
      </c>
      <c r="F210" s="452"/>
      <c r="G210" s="459">
        <v>250000</v>
      </c>
      <c r="H210" s="452">
        <f t="shared" si="17"/>
        <v>13200000</v>
      </c>
      <c r="I210" s="454">
        <v>1</v>
      </c>
      <c r="J210" s="455">
        <f t="shared" si="16"/>
        <v>2437.4794520547944</v>
      </c>
    </row>
    <row r="211" spans="2:10" ht="15.75">
      <c r="B211" s="448">
        <v>48060</v>
      </c>
      <c r="C211" s="449">
        <f t="shared" si="14"/>
        <v>0.0589</v>
      </c>
      <c r="D211" s="450">
        <f t="shared" si="15"/>
        <v>0.0085</v>
      </c>
      <c r="E211" s="451">
        <f t="shared" si="13"/>
        <v>0.0674</v>
      </c>
      <c r="F211" s="452"/>
      <c r="G211" s="459"/>
      <c r="H211" s="452">
        <f t="shared" si="17"/>
        <v>13200000</v>
      </c>
      <c r="I211" s="454">
        <v>31</v>
      </c>
      <c r="J211" s="455">
        <f t="shared" si="16"/>
        <v>75561.86301369863</v>
      </c>
    </row>
    <row r="212" spans="2:10" ht="15.75">
      <c r="B212" s="448">
        <v>48091</v>
      </c>
      <c r="C212" s="449">
        <f t="shared" si="14"/>
        <v>0.0589</v>
      </c>
      <c r="D212" s="450">
        <f t="shared" si="15"/>
        <v>0.0085</v>
      </c>
      <c r="E212" s="451">
        <f aca="true" t="shared" si="18" ref="E212:E275">C212+D212</f>
        <v>0.0674</v>
      </c>
      <c r="F212" s="452"/>
      <c r="G212" s="459"/>
      <c r="H212" s="452">
        <f t="shared" si="17"/>
        <v>13200000</v>
      </c>
      <c r="I212" s="508">
        <v>31</v>
      </c>
      <c r="J212" s="455">
        <f t="shared" si="16"/>
        <v>75561.86301369863</v>
      </c>
    </row>
    <row r="213" spans="2:10" ht="15.75">
      <c r="B213" s="448">
        <v>48120</v>
      </c>
      <c r="C213" s="449">
        <f aca="true" t="shared" si="19" ref="C213:C276">C212</f>
        <v>0.0589</v>
      </c>
      <c r="D213" s="450">
        <f aca="true" t="shared" si="20" ref="D213:D276">D212</f>
        <v>0.0085</v>
      </c>
      <c r="E213" s="451">
        <f t="shared" si="18"/>
        <v>0.0674</v>
      </c>
      <c r="F213" s="452"/>
      <c r="G213" s="459"/>
      <c r="H213" s="452">
        <f t="shared" si="17"/>
        <v>13200000</v>
      </c>
      <c r="I213" s="454">
        <v>29</v>
      </c>
      <c r="J213" s="455">
        <f t="shared" si="16"/>
        <v>70686.90410958904</v>
      </c>
    </row>
    <row r="214" spans="2:10" ht="15.75">
      <c r="B214" s="458">
        <v>48121</v>
      </c>
      <c r="C214" s="449">
        <f t="shared" si="19"/>
        <v>0.0589</v>
      </c>
      <c r="D214" s="450">
        <f t="shared" si="20"/>
        <v>0.0085</v>
      </c>
      <c r="E214" s="451">
        <f t="shared" si="18"/>
        <v>0.0674</v>
      </c>
      <c r="F214" s="452"/>
      <c r="G214" s="459">
        <v>250000</v>
      </c>
      <c r="H214" s="452">
        <f t="shared" si="17"/>
        <v>12950000</v>
      </c>
      <c r="I214" s="454">
        <v>1</v>
      </c>
      <c r="J214" s="455">
        <f t="shared" si="16"/>
        <v>2391.3150684931506</v>
      </c>
    </row>
    <row r="215" spans="2:10" ht="15.75">
      <c r="B215" s="461">
        <v>48152</v>
      </c>
      <c r="C215" s="449">
        <f t="shared" si="19"/>
        <v>0.0589</v>
      </c>
      <c r="D215" s="450">
        <f t="shared" si="20"/>
        <v>0.0085</v>
      </c>
      <c r="E215" s="451">
        <f t="shared" si="18"/>
        <v>0.0674</v>
      </c>
      <c r="F215" s="452"/>
      <c r="G215" s="459"/>
      <c r="H215" s="452">
        <f t="shared" si="17"/>
        <v>12950000</v>
      </c>
      <c r="I215" s="508">
        <v>31</v>
      </c>
      <c r="J215" s="455">
        <f t="shared" si="16"/>
        <v>74130.76712328767</v>
      </c>
    </row>
    <row r="216" spans="2:10" ht="15.75">
      <c r="B216" s="461">
        <v>48182</v>
      </c>
      <c r="C216" s="449">
        <f t="shared" si="19"/>
        <v>0.0589</v>
      </c>
      <c r="D216" s="450">
        <f t="shared" si="20"/>
        <v>0.0085</v>
      </c>
      <c r="E216" s="451">
        <f t="shared" si="18"/>
        <v>0.0674</v>
      </c>
      <c r="F216" s="452"/>
      <c r="G216" s="459"/>
      <c r="H216" s="452">
        <f t="shared" si="17"/>
        <v>12950000</v>
      </c>
      <c r="I216" s="508">
        <v>30</v>
      </c>
      <c r="J216" s="455">
        <f t="shared" si="16"/>
        <v>71739.45205479451</v>
      </c>
    </row>
    <row r="217" spans="2:10" ht="15.75">
      <c r="B217" s="461">
        <v>48211</v>
      </c>
      <c r="C217" s="449">
        <f t="shared" si="19"/>
        <v>0.0589</v>
      </c>
      <c r="D217" s="450">
        <f t="shared" si="20"/>
        <v>0.0085</v>
      </c>
      <c r="E217" s="451">
        <f t="shared" si="18"/>
        <v>0.0674</v>
      </c>
      <c r="F217" s="452"/>
      <c r="G217" s="459"/>
      <c r="H217" s="452">
        <f t="shared" si="17"/>
        <v>12950000</v>
      </c>
      <c r="I217" s="508">
        <v>29</v>
      </c>
      <c r="J217" s="455">
        <f t="shared" si="16"/>
        <v>69348.13698630137</v>
      </c>
    </row>
    <row r="218" spans="2:10" ht="15.75">
      <c r="B218" s="458">
        <v>48212</v>
      </c>
      <c r="C218" s="449">
        <f t="shared" si="19"/>
        <v>0.0589</v>
      </c>
      <c r="D218" s="450">
        <f t="shared" si="20"/>
        <v>0.0085</v>
      </c>
      <c r="E218" s="451">
        <f t="shared" si="18"/>
        <v>0.0674</v>
      </c>
      <c r="F218" s="452"/>
      <c r="G218" s="459">
        <v>250000</v>
      </c>
      <c r="H218" s="452">
        <f t="shared" si="17"/>
        <v>12700000</v>
      </c>
      <c r="I218" s="508">
        <v>1</v>
      </c>
      <c r="J218" s="455">
        <f t="shared" si="16"/>
        <v>2345.150684931507</v>
      </c>
    </row>
    <row r="219" spans="2:10" ht="15.75">
      <c r="B219" s="469">
        <v>48213</v>
      </c>
      <c r="C219" s="470">
        <f t="shared" si="19"/>
        <v>0.0589</v>
      </c>
      <c r="D219" s="471">
        <f t="shared" si="20"/>
        <v>0.0085</v>
      </c>
      <c r="E219" s="472">
        <f t="shared" si="18"/>
        <v>0.0674</v>
      </c>
      <c r="F219" s="473"/>
      <c r="G219" s="554"/>
      <c r="H219" s="473">
        <f t="shared" si="17"/>
        <v>12700000</v>
      </c>
      <c r="I219" s="475">
        <v>1</v>
      </c>
      <c r="J219" s="476">
        <f t="shared" si="16"/>
        <v>2345.150684931507</v>
      </c>
    </row>
    <row r="220" spans="2:12" ht="15.75">
      <c r="B220" s="479">
        <v>48244</v>
      </c>
      <c r="C220" s="421">
        <f t="shared" si="19"/>
        <v>0.0589</v>
      </c>
      <c r="D220" s="422">
        <f t="shared" si="20"/>
        <v>0.0085</v>
      </c>
      <c r="E220" s="423">
        <f t="shared" si="18"/>
        <v>0.0674</v>
      </c>
      <c r="F220" s="426"/>
      <c r="G220" s="425"/>
      <c r="H220" s="426">
        <f t="shared" si="17"/>
        <v>12700000</v>
      </c>
      <c r="I220" s="427">
        <v>31</v>
      </c>
      <c r="J220" s="428">
        <f t="shared" si="16"/>
        <v>72699.67123287672</v>
      </c>
      <c r="K220" s="555">
        <f>SUM(J220:J237)</f>
        <v>806898.0273972601</v>
      </c>
      <c r="L220" s="555">
        <f>SUM(G220:G237)</f>
        <v>2000000</v>
      </c>
    </row>
    <row r="221" spans="2:10" ht="15.75">
      <c r="B221" s="481">
        <v>48273</v>
      </c>
      <c r="C221" s="482">
        <f t="shared" si="19"/>
        <v>0.0589</v>
      </c>
      <c r="D221" s="483">
        <f t="shared" si="20"/>
        <v>0.0085</v>
      </c>
      <c r="E221" s="484">
        <f t="shared" si="18"/>
        <v>0.0674</v>
      </c>
      <c r="F221" s="485"/>
      <c r="G221" s="489"/>
      <c r="H221" s="485">
        <f t="shared" si="17"/>
        <v>12700000</v>
      </c>
      <c r="I221" s="487">
        <v>29</v>
      </c>
      <c r="J221" s="488">
        <f t="shared" si="16"/>
        <v>68009.3698630137</v>
      </c>
    </row>
    <row r="222" spans="2:10" ht="15.75">
      <c r="B222" s="481">
        <v>48302</v>
      </c>
      <c r="C222" s="482">
        <f t="shared" si="19"/>
        <v>0.0589</v>
      </c>
      <c r="D222" s="483">
        <f t="shared" si="20"/>
        <v>0.0085</v>
      </c>
      <c r="E222" s="484">
        <f t="shared" si="18"/>
        <v>0.0674</v>
      </c>
      <c r="F222" s="485"/>
      <c r="G222" s="489"/>
      <c r="H222" s="485">
        <f t="shared" si="17"/>
        <v>12700000</v>
      </c>
      <c r="I222" s="487">
        <v>29</v>
      </c>
      <c r="J222" s="488">
        <f aca="true" t="shared" si="21" ref="J222:J285">H222*E222*I222/365</f>
        <v>68009.3698630137</v>
      </c>
    </row>
    <row r="223" spans="2:10" ht="15.75">
      <c r="B223" s="490">
        <v>48303</v>
      </c>
      <c r="C223" s="482">
        <f t="shared" si="19"/>
        <v>0.0589</v>
      </c>
      <c r="D223" s="483">
        <f t="shared" si="20"/>
        <v>0.0085</v>
      </c>
      <c r="E223" s="484">
        <f t="shared" si="18"/>
        <v>0.0674</v>
      </c>
      <c r="F223" s="485"/>
      <c r="G223" s="489">
        <v>500000</v>
      </c>
      <c r="H223" s="485">
        <f t="shared" si="17"/>
        <v>12200000</v>
      </c>
      <c r="I223" s="487">
        <v>1</v>
      </c>
      <c r="J223" s="488">
        <f t="shared" si="21"/>
        <v>2252.821917808219</v>
      </c>
    </row>
    <row r="224" spans="2:10" ht="15.75">
      <c r="B224" s="481">
        <v>48304</v>
      </c>
      <c r="C224" s="482">
        <f t="shared" si="19"/>
        <v>0.0589</v>
      </c>
      <c r="D224" s="483">
        <f t="shared" si="20"/>
        <v>0.0085</v>
      </c>
      <c r="E224" s="484">
        <f t="shared" si="18"/>
        <v>0.0674</v>
      </c>
      <c r="F224" s="485"/>
      <c r="G224" s="489"/>
      <c r="H224" s="485">
        <f t="shared" si="17"/>
        <v>12200000</v>
      </c>
      <c r="I224" s="487">
        <v>1</v>
      </c>
      <c r="J224" s="488">
        <f t="shared" si="21"/>
        <v>2252.821917808219</v>
      </c>
    </row>
    <row r="225" spans="2:10" ht="15.75">
      <c r="B225" s="481">
        <v>48334</v>
      </c>
      <c r="C225" s="482">
        <f t="shared" si="19"/>
        <v>0.0589</v>
      </c>
      <c r="D225" s="483">
        <f t="shared" si="20"/>
        <v>0.0085</v>
      </c>
      <c r="E225" s="484">
        <f t="shared" si="18"/>
        <v>0.0674</v>
      </c>
      <c r="F225" s="485"/>
      <c r="G225" s="489"/>
      <c r="H225" s="485">
        <f t="shared" si="17"/>
        <v>12200000</v>
      </c>
      <c r="I225" s="487">
        <v>30</v>
      </c>
      <c r="J225" s="488">
        <f t="shared" si="21"/>
        <v>67584.65753424658</v>
      </c>
    </row>
    <row r="226" spans="2:10" ht="15.75">
      <c r="B226" s="491">
        <v>48365</v>
      </c>
      <c r="C226" s="482">
        <f t="shared" si="19"/>
        <v>0.0589</v>
      </c>
      <c r="D226" s="483">
        <f t="shared" si="20"/>
        <v>0.0085</v>
      </c>
      <c r="E226" s="484">
        <f t="shared" si="18"/>
        <v>0.0674</v>
      </c>
      <c r="F226" s="485"/>
      <c r="G226" s="489"/>
      <c r="H226" s="485">
        <f t="shared" si="17"/>
        <v>12200000</v>
      </c>
      <c r="I226" s="487">
        <v>31</v>
      </c>
      <c r="J226" s="488">
        <f t="shared" si="21"/>
        <v>69837.47945205479</v>
      </c>
    </row>
    <row r="227" spans="2:10" ht="15.75">
      <c r="B227" s="491">
        <v>48394</v>
      </c>
      <c r="C227" s="482">
        <f t="shared" si="19"/>
        <v>0.0589</v>
      </c>
      <c r="D227" s="483">
        <f t="shared" si="20"/>
        <v>0.0085</v>
      </c>
      <c r="E227" s="484">
        <f t="shared" si="18"/>
        <v>0.0674</v>
      </c>
      <c r="F227" s="498"/>
      <c r="G227" s="531"/>
      <c r="H227" s="485">
        <f t="shared" si="17"/>
        <v>12200000</v>
      </c>
      <c r="I227" s="493">
        <v>29</v>
      </c>
      <c r="J227" s="488">
        <f t="shared" si="21"/>
        <v>65331.83561643836</v>
      </c>
    </row>
    <row r="228" spans="2:10" ht="15.75">
      <c r="B228" s="490">
        <v>48395</v>
      </c>
      <c r="C228" s="482">
        <f t="shared" si="19"/>
        <v>0.0589</v>
      </c>
      <c r="D228" s="483">
        <f t="shared" si="20"/>
        <v>0.0085</v>
      </c>
      <c r="E228" s="484">
        <f t="shared" si="18"/>
        <v>0.0674</v>
      </c>
      <c r="F228" s="485"/>
      <c r="G228" s="489">
        <v>500000</v>
      </c>
      <c r="H228" s="485">
        <f t="shared" si="17"/>
        <v>11700000</v>
      </c>
      <c r="I228" s="487">
        <v>1</v>
      </c>
      <c r="J228" s="488">
        <f t="shared" si="21"/>
        <v>2160.4931506849316</v>
      </c>
    </row>
    <row r="229" spans="2:10" ht="15.75">
      <c r="B229" s="481">
        <v>48426</v>
      </c>
      <c r="C229" s="482">
        <f t="shared" si="19"/>
        <v>0.0589</v>
      </c>
      <c r="D229" s="483">
        <f t="shared" si="20"/>
        <v>0.0085</v>
      </c>
      <c r="E229" s="484">
        <f t="shared" si="18"/>
        <v>0.0674</v>
      </c>
      <c r="F229" s="485"/>
      <c r="G229" s="489"/>
      <c r="H229" s="485">
        <f aca="true" t="shared" si="22" ref="H229:H292">H228-G229</f>
        <v>11700000</v>
      </c>
      <c r="I229" s="487">
        <v>31</v>
      </c>
      <c r="J229" s="488">
        <f t="shared" si="21"/>
        <v>66975.28767123287</v>
      </c>
    </row>
    <row r="230" spans="2:10" ht="15.75">
      <c r="B230" s="481">
        <v>48457</v>
      </c>
      <c r="C230" s="482">
        <f t="shared" si="19"/>
        <v>0.0589</v>
      </c>
      <c r="D230" s="483">
        <f t="shared" si="20"/>
        <v>0.0085</v>
      </c>
      <c r="E230" s="484">
        <f t="shared" si="18"/>
        <v>0.0674</v>
      </c>
      <c r="F230" s="485"/>
      <c r="G230" s="489"/>
      <c r="H230" s="485">
        <f t="shared" si="22"/>
        <v>11700000</v>
      </c>
      <c r="I230" s="493">
        <v>31</v>
      </c>
      <c r="J230" s="488">
        <f t="shared" si="21"/>
        <v>66975.28767123287</v>
      </c>
    </row>
    <row r="231" spans="2:10" ht="15.75">
      <c r="B231" s="481">
        <v>48486</v>
      </c>
      <c r="C231" s="482">
        <f t="shared" si="19"/>
        <v>0.0589</v>
      </c>
      <c r="D231" s="483">
        <f t="shared" si="20"/>
        <v>0.0085</v>
      </c>
      <c r="E231" s="484">
        <f t="shared" si="18"/>
        <v>0.0674</v>
      </c>
      <c r="F231" s="485"/>
      <c r="G231" s="489"/>
      <c r="H231" s="485">
        <f t="shared" si="22"/>
        <v>11700000</v>
      </c>
      <c r="I231" s="487">
        <v>29</v>
      </c>
      <c r="J231" s="488">
        <f t="shared" si="21"/>
        <v>62654.30136986302</v>
      </c>
    </row>
    <row r="232" spans="2:10" ht="15.75">
      <c r="B232" s="490">
        <v>48487</v>
      </c>
      <c r="C232" s="482">
        <f t="shared" si="19"/>
        <v>0.0589</v>
      </c>
      <c r="D232" s="483">
        <f t="shared" si="20"/>
        <v>0.0085</v>
      </c>
      <c r="E232" s="484">
        <f t="shared" si="18"/>
        <v>0.0674</v>
      </c>
      <c r="F232" s="485"/>
      <c r="G232" s="489">
        <v>500000</v>
      </c>
      <c r="H232" s="485">
        <f t="shared" si="22"/>
        <v>11200000</v>
      </c>
      <c r="I232" s="487">
        <v>1</v>
      </c>
      <c r="J232" s="488">
        <f t="shared" si="21"/>
        <v>2068.1643835616437</v>
      </c>
    </row>
    <row r="233" spans="2:10" ht="15.75">
      <c r="B233" s="491">
        <v>48518</v>
      </c>
      <c r="C233" s="482">
        <f t="shared" si="19"/>
        <v>0.0589</v>
      </c>
      <c r="D233" s="483">
        <f t="shared" si="20"/>
        <v>0.0085</v>
      </c>
      <c r="E233" s="484">
        <f t="shared" si="18"/>
        <v>0.0674</v>
      </c>
      <c r="F233" s="485"/>
      <c r="G233" s="489"/>
      <c r="H233" s="485">
        <f t="shared" si="22"/>
        <v>11200000</v>
      </c>
      <c r="I233" s="493">
        <v>31</v>
      </c>
      <c r="J233" s="488">
        <f t="shared" si="21"/>
        <v>64113.09589041096</v>
      </c>
    </row>
    <row r="234" spans="2:10" ht="15.75">
      <c r="B234" s="491">
        <v>48548</v>
      </c>
      <c r="C234" s="482">
        <f t="shared" si="19"/>
        <v>0.0589</v>
      </c>
      <c r="D234" s="483">
        <f t="shared" si="20"/>
        <v>0.0085</v>
      </c>
      <c r="E234" s="484">
        <f t="shared" si="18"/>
        <v>0.0674</v>
      </c>
      <c r="F234" s="485"/>
      <c r="G234" s="489"/>
      <c r="H234" s="485">
        <f t="shared" si="22"/>
        <v>11200000</v>
      </c>
      <c r="I234" s="493">
        <v>30</v>
      </c>
      <c r="J234" s="488">
        <f t="shared" si="21"/>
        <v>62044.931506849316</v>
      </c>
    </row>
    <row r="235" spans="2:10" ht="15.75">
      <c r="B235" s="491">
        <v>48577</v>
      </c>
      <c r="C235" s="482">
        <f t="shared" si="19"/>
        <v>0.0589</v>
      </c>
      <c r="D235" s="483">
        <f t="shared" si="20"/>
        <v>0.0085</v>
      </c>
      <c r="E235" s="484">
        <f t="shared" si="18"/>
        <v>0.0674</v>
      </c>
      <c r="F235" s="485"/>
      <c r="G235" s="489"/>
      <c r="H235" s="485">
        <f t="shared" si="22"/>
        <v>11200000</v>
      </c>
      <c r="I235" s="493">
        <v>29</v>
      </c>
      <c r="J235" s="488">
        <f t="shared" si="21"/>
        <v>59976.767123287675</v>
      </c>
    </row>
    <row r="236" spans="2:10" ht="15.75">
      <c r="B236" s="490">
        <v>48578</v>
      </c>
      <c r="C236" s="482">
        <f t="shared" si="19"/>
        <v>0.0589</v>
      </c>
      <c r="D236" s="483">
        <f t="shared" si="20"/>
        <v>0.0085</v>
      </c>
      <c r="E236" s="484">
        <f t="shared" si="18"/>
        <v>0.0674</v>
      </c>
      <c r="F236" s="485"/>
      <c r="G236" s="489">
        <v>500000</v>
      </c>
      <c r="H236" s="485">
        <f t="shared" si="22"/>
        <v>10700000</v>
      </c>
      <c r="I236" s="493">
        <v>1</v>
      </c>
      <c r="J236" s="488">
        <f t="shared" si="21"/>
        <v>1975.835616438356</v>
      </c>
    </row>
    <row r="237" spans="2:10" ht="15.75">
      <c r="B237" s="430">
        <v>48579</v>
      </c>
      <c r="C237" s="431">
        <f t="shared" si="19"/>
        <v>0.0589</v>
      </c>
      <c r="D237" s="432">
        <f t="shared" si="20"/>
        <v>0.0085</v>
      </c>
      <c r="E237" s="433">
        <f t="shared" si="18"/>
        <v>0.0674</v>
      </c>
      <c r="F237" s="434"/>
      <c r="G237" s="534"/>
      <c r="H237" s="434">
        <f t="shared" si="22"/>
        <v>10700000</v>
      </c>
      <c r="I237" s="436">
        <v>1</v>
      </c>
      <c r="J237" s="437">
        <f t="shared" si="21"/>
        <v>1975.835616438356</v>
      </c>
    </row>
    <row r="238" spans="2:12" ht="15.75">
      <c r="B238" s="440">
        <v>48610</v>
      </c>
      <c r="C238" s="441">
        <f t="shared" si="19"/>
        <v>0.0589</v>
      </c>
      <c r="D238" s="442">
        <f t="shared" si="20"/>
        <v>0.0085</v>
      </c>
      <c r="E238" s="443">
        <f t="shared" si="18"/>
        <v>0.0674</v>
      </c>
      <c r="F238" s="444"/>
      <c r="G238" s="506"/>
      <c r="H238" s="444">
        <f t="shared" si="22"/>
        <v>10700000</v>
      </c>
      <c r="I238" s="446">
        <v>31</v>
      </c>
      <c r="J238" s="447">
        <f t="shared" si="21"/>
        <v>61250.90410958904</v>
      </c>
      <c r="K238" s="555">
        <f>SUM(J238:J255)</f>
        <v>669752.8767123288</v>
      </c>
      <c r="L238" s="555">
        <f>SUM(G238:G255)</f>
        <v>2000000</v>
      </c>
    </row>
    <row r="239" spans="2:10" ht="15.75">
      <c r="B239" s="448">
        <v>48638</v>
      </c>
      <c r="C239" s="449">
        <f t="shared" si="19"/>
        <v>0.0589</v>
      </c>
      <c r="D239" s="450">
        <f t="shared" si="20"/>
        <v>0.0085</v>
      </c>
      <c r="E239" s="451">
        <f t="shared" si="18"/>
        <v>0.0674</v>
      </c>
      <c r="F239" s="452"/>
      <c r="G239" s="459"/>
      <c r="H239" s="452">
        <f t="shared" si="22"/>
        <v>10700000</v>
      </c>
      <c r="I239" s="454">
        <v>28</v>
      </c>
      <c r="J239" s="455">
        <f t="shared" si="21"/>
        <v>55323.397260273974</v>
      </c>
    </row>
    <row r="240" spans="2:10" ht="15.75">
      <c r="B240" s="448">
        <v>48667</v>
      </c>
      <c r="C240" s="449">
        <f t="shared" si="19"/>
        <v>0.0589</v>
      </c>
      <c r="D240" s="450">
        <f t="shared" si="20"/>
        <v>0.0085</v>
      </c>
      <c r="E240" s="451">
        <f t="shared" si="18"/>
        <v>0.0674</v>
      </c>
      <c r="F240" s="452"/>
      <c r="G240" s="459"/>
      <c r="H240" s="452">
        <f t="shared" si="22"/>
        <v>10700000</v>
      </c>
      <c r="I240" s="454">
        <v>29</v>
      </c>
      <c r="J240" s="455">
        <f t="shared" si="21"/>
        <v>57299.232876712325</v>
      </c>
    </row>
    <row r="241" spans="2:10" ht="15.75">
      <c r="B241" s="458">
        <v>48668</v>
      </c>
      <c r="C241" s="449">
        <f t="shared" si="19"/>
        <v>0.0589</v>
      </c>
      <c r="D241" s="450">
        <f t="shared" si="20"/>
        <v>0.0085</v>
      </c>
      <c r="E241" s="451">
        <f t="shared" si="18"/>
        <v>0.0674</v>
      </c>
      <c r="F241" s="452"/>
      <c r="G241" s="459">
        <v>500000</v>
      </c>
      <c r="H241" s="452">
        <f t="shared" si="22"/>
        <v>10200000</v>
      </c>
      <c r="I241" s="454">
        <v>1</v>
      </c>
      <c r="J241" s="455">
        <f t="shared" si="21"/>
        <v>1883.5068493150684</v>
      </c>
    </row>
    <row r="242" spans="2:10" ht="15.75">
      <c r="B242" s="448">
        <v>48669</v>
      </c>
      <c r="C242" s="449">
        <f t="shared" si="19"/>
        <v>0.0589</v>
      </c>
      <c r="D242" s="450">
        <f t="shared" si="20"/>
        <v>0.0085</v>
      </c>
      <c r="E242" s="451">
        <f t="shared" si="18"/>
        <v>0.0674</v>
      </c>
      <c r="F242" s="452"/>
      <c r="G242" s="459"/>
      <c r="H242" s="452">
        <f t="shared" si="22"/>
        <v>10200000</v>
      </c>
      <c r="I242" s="454">
        <v>1</v>
      </c>
      <c r="J242" s="455">
        <f t="shared" si="21"/>
        <v>1883.5068493150684</v>
      </c>
    </row>
    <row r="243" spans="2:10" ht="15.75">
      <c r="B243" s="448">
        <v>48699</v>
      </c>
      <c r="C243" s="449">
        <f t="shared" si="19"/>
        <v>0.0589</v>
      </c>
      <c r="D243" s="450">
        <f t="shared" si="20"/>
        <v>0.0085</v>
      </c>
      <c r="E243" s="451">
        <f t="shared" si="18"/>
        <v>0.0674</v>
      </c>
      <c r="F243" s="452"/>
      <c r="G243" s="459"/>
      <c r="H243" s="452">
        <f t="shared" si="22"/>
        <v>10200000</v>
      </c>
      <c r="I243" s="454">
        <v>30</v>
      </c>
      <c r="J243" s="455">
        <f t="shared" si="21"/>
        <v>56505.20547945205</v>
      </c>
    </row>
    <row r="244" spans="2:10" ht="15.75">
      <c r="B244" s="461">
        <v>48730</v>
      </c>
      <c r="C244" s="449">
        <f t="shared" si="19"/>
        <v>0.0589</v>
      </c>
      <c r="D244" s="450">
        <f t="shared" si="20"/>
        <v>0.0085</v>
      </c>
      <c r="E244" s="451">
        <f t="shared" si="18"/>
        <v>0.0674</v>
      </c>
      <c r="F244" s="452"/>
      <c r="G244" s="459"/>
      <c r="H244" s="452">
        <f t="shared" si="22"/>
        <v>10200000</v>
      </c>
      <c r="I244" s="454">
        <v>31</v>
      </c>
      <c r="J244" s="455">
        <f t="shared" si="21"/>
        <v>58388.71232876712</v>
      </c>
    </row>
    <row r="245" spans="2:10" ht="15.75">
      <c r="B245" s="461">
        <v>48759</v>
      </c>
      <c r="C245" s="449">
        <f t="shared" si="19"/>
        <v>0.0589</v>
      </c>
      <c r="D245" s="450">
        <f t="shared" si="20"/>
        <v>0.0085</v>
      </c>
      <c r="E245" s="451">
        <f t="shared" si="18"/>
        <v>0.0674</v>
      </c>
      <c r="F245" s="511"/>
      <c r="G245" s="512"/>
      <c r="H245" s="452">
        <f t="shared" si="22"/>
        <v>10200000</v>
      </c>
      <c r="I245" s="508">
        <v>29</v>
      </c>
      <c r="J245" s="455">
        <f t="shared" si="21"/>
        <v>54621.69863013698</v>
      </c>
    </row>
    <row r="246" spans="2:10" ht="15.75">
      <c r="B246" s="458">
        <v>48760</v>
      </c>
      <c r="C246" s="449">
        <f t="shared" si="19"/>
        <v>0.0589</v>
      </c>
      <c r="D246" s="450">
        <f t="shared" si="20"/>
        <v>0.0085</v>
      </c>
      <c r="E246" s="451">
        <f t="shared" si="18"/>
        <v>0.0674</v>
      </c>
      <c r="F246" s="452"/>
      <c r="G246" s="459">
        <v>500000</v>
      </c>
      <c r="H246" s="452">
        <f t="shared" si="22"/>
        <v>9700000</v>
      </c>
      <c r="I246" s="454">
        <v>1</v>
      </c>
      <c r="J246" s="455">
        <f t="shared" si="21"/>
        <v>1791.1780821917807</v>
      </c>
    </row>
    <row r="247" spans="2:10" ht="15.75">
      <c r="B247" s="448">
        <v>48791</v>
      </c>
      <c r="C247" s="449">
        <f t="shared" si="19"/>
        <v>0.0589</v>
      </c>
      <c r="D247" s="450">
        <f t="shared" si="20"/>
        <v>0.0085</v>
      </c>
      <c r="E247" s="451">
        <f t="shared" si="18"/>
        <v>0.0674</v>
      </c>
      <c r="F247" s="452"/>
      <c r="G247" s="459"/>
      <c r="H247" s="452">
        <f t="shared" si="22"/>
        <v>9700000</v>
      </c>
      <c r="I247" s="454">
        <v>31</v>
      </c>
      <c r="J247" s="455">
        <f t="shared" si="21"/>
        <v>55526.520547945205</v>
      </c>
    </row>
    <row r="248" spans="2:10" ht="15.75">
      <c r="B248" s="448">
        <v>48822</v>
      </c>
      <c r="C248" s="449">
        <f t="shared" si="19"/>
        <v>0.0589</v>
      </c>
      <c r="D248" s="450">
        <f t="shared" si="20"/>
        <v>0.0085</v>
      </c>
      <c r="E248" s="451">
        <f t="shared" si="18"/>
        <v>0.0674</v>
      </c>
      <c r="F248" s="452"/>
      <c r="G248" s="459"/>
      <c r="H248" s="452">
        <f t="shared" si="22"/>
        <v>9700000</v>
      </c>
      <c r="I248" s="508">
        <v>31</v>
      </c>
      <c r="J248" s="455">
        <f t="shared" si="21"/>
        <v>55526.520547945205</v>
      </c>
    </row>
    <row r="249" spans="2:10" ht="15.75">
      <c r="B249" s="448">
        <v>48851</v>
      </c>
      <c r="C249" s="449">
        <f t="shared" si="19"/>
        <v>0.0589</v>
      </c>
      <c r="D249" s="450">
        <f t="shared" si="20"/>
        <v>0.0085</v>
      </c>
      <c r="E249" s="451">
        <f t="shared" si="18"/>
        <v>0.0674</v>
      </c>
      <c r="F249" s="452"/>
      <c r="G249" s="459"/>
      <c r="H249" s="452">
        <f t="shared" si="22"/>
        <v>9700000</v>
      </c>
      <c r="I249" s="454">
        <v>29</v>
      </c>
      <c r="J249" s="455">
        <f t="shared" si="21"/>
        <v>51944.16438356164</v>
      </c>
    </row>
    <row r="250" spans="2:10" ht="15.75">
      <c r="B250" s="458">
        <v>48852</v>
      </c>
      <c r="C250" s="449">
        <f t="shared" si="19"/>
        <v>0.0589</v>
      </c>
      <c r="D250" s="450">
        <f t="shared" si="20"/>
        <v>0.0085</v>
      </c>
      <c r="E250" s="451">
        <f t="shared" si="18"/>
        <v>0.0674</v>
      </c>
      <c r="F250" s="452"/>
      <c r="G250" s="459">
        <v>500000</v>
      </c>
      <c r="H250" s="452">
        <f t="shared" si="22"/>
        <v>9200000</v>
      </c>
      <c r="I250" s="454">
        <v>1</v>
      </c>
      <c r="J250" s="455">
        <f t="shared" si="21"/>
        <v>1698.849315068493</v>
      </c>
    </row>
    <row r="251" spans="2:10" ht="15.75">
      <c r="B251" s="461">
        <v>48883</v>
      </c>
      <c r="C251" s="449">
        <f t="shared" si="19"/>
        <v>0.0589</v>
      </c>
      <c r="D251" s="450">
        <f t="shared" si="20"/>
        <v>0.0085</v>
      </c>
      <c r="E251" s="451">
        <f t="shared" si="18"/>
        <v>0.0674</v>
      </c>
      <c r="F251" s="452"/>
      <c r="G251" s="459"/>
      <c r="H251" s="452">
        <f t="shared" si="22"/>
        <v>9200000</v>
      </c>
      <c r="I251" s="508">
        <v>31</v>
      </c>
      <c r="J251" s="455">
        <f t="shared" si="21"/>
        <v>52664.32876712329</v>
      </c>
    </row>
    <row r="252" spans="2:10" ht="15.75">
      <c r="B252" s="461">
        <v>48913</v>
      </c>
      <c r="C252" s="449">
        <f t="shared" si="19"/>
        <v>0.0589</v>
      </c>
      <c r="D252" s="450">
        <f t="shared" si="20"/>
        <v>0.0085</v>
      </c>
      <c r="E252" s="451">
        <f t="shared" si="18"/>
        <v>0.0674</v>
      </c>
      <c r="F252" s="452"/>
      <c r="G252" s="459"/>
      <c r="H252" s="452">
        <f t="shared" si="22"/>
        <v>9200000</v>
      </c>
      <c r="I252" s="508">
        <v>30</v>
      </c>
      <c r="J252" s="455">
        <f t="shared" si="21"/>
        <v>50965.479452054795</v>
      </c>
    </row>
    <row r="253" spans="2:10" ht="15.75">
      <c r="B253" s="461">
        <v>48942</v>
      </c>
      <c r="C253" s="449">
        <f t="shared" si="19"/>
        <v>0.0589</v>
      </c>
      <c r="D253" s="450">
        <f t="shared" si="20"/>
        <v>0.0085</v>
      </c>
      <c r="E253" s="451">
        <f t="shared" si="18"/>
        <v>0.0674</v>
      </c>
      <c r="F253" s="452"/>
      <c r="G253" s="459"/>
      <c r="H253" s="452">
        <f t="shared" si="22"/>
        <v>9200000</v>
      </c>
      <c r="I253" s="508">
        <v>29</v>
      </c>
      <c r="J253" s="455">
        <f t="shared" si="21"/>
        <v>49266.6301369863</v>
      </c>
    </row>
    <row r="254" spans="2:10" ht="15.75">
      <c r="B254" s="458">
        <v>48943</v>
      </c>
      <c r="C254" s="449">
        <f t="shared" si="19"/>
        <v>0.0589</v>
      </c>
      <c r="D254" s="450">
        <f t="shared" si="20"/>
        <v>0.0085</v>
      </c>
      <c r="E254" s="451">
        <f t="shared" si="18"/>
        <v>0.0674</v>
      </c>
      <c r="F254" s="452"/>
      <c r="G254" s="459">
        <v>500000</v>
      </c>
      <c r="H254" s="452">
        <f t="shared" si="22"/>
        <v>8700000</v>
      </c>
      <c r="I254" s="508">
        <v>1</v>
      </c>
      <c r="J254" s="455">
        <f t="shared" si="21"/>
        <v>1606.5205479452054</v>
      </c>
    </row>
    <row r="255" spans="2:10" ht="15.75">
      <c r="B255" s="469">
        <v>48944</v>
      </c>
      <c r="C255" s="470">
        <f t="shared" si="19"/>
        <v>0.0589</v>
      </c>
      <c r="D255" s="471">
        <f t="shared" si="20"/>
        <v>0.0085</v>
      </c>
      <c r="E255" s="472">
        <f t="shared" si="18"/>
        <v>0.0674</v>
      </c>
      <c r="F255" s="473"/>
      <c r="G255" s="554"/>
      <c r="H255" s="473">
        <f t="shared" si="22"/>
        <v>8700000</v>
      </c>
      <c r="I255" s="475">
        <v>1</v>
      </c>
      <c r="J255" s="476">
        <f t="shared" si="21"/>
        <v>1606.5205479452054</v>
      </c>
    </row>
    <row r="256" spans="2:12" ht="15.75">
      <c r="B256" s="479">
        <v>48975</v>
      </c>
      <c r="C256" s="421">
        <f t="shared" si="19"/>
        <v>0.0589</v>
      </c>
      <c r="D256" s="422">
        <f t="shared" si="20"/>
        <v>0.0085</v>
      </c>
      <c r="E256" s="423">
        <f t="shared" si="18"/>
        <v>0.0674</v>
      </c>
      <c r="F256" s="426"/>
      <c r="G256" s="425"/>
      <c r="H256" s="426">
        <f t="shared" si="22"/>
        <v>8700000</v>
      </c>
      <c r="I256" s="427">
        <v>31</v>
      </c>
      <c r="J256" s="428">
        <f t="shared" si="21"/>
        <v>49802.13698630137</v>
      </c>
      <c r="K256" s="555">
        <f>SUM(J256:J273)</f>
        <v>534952.8767123288</v>
      </c>
      <c r="L256" s="555">
        <f>SUM(G256:G273)</f>
        <v>2000000</v>
      </c>
    </row>
    <row r="257" spans="2:10" ht="15.75">
      <c r="B257" s="481">
        <v>49003</v>
      </c>
      <c r="C257" s="482">
        <f t="shared" si="19"/>
        <v>0.0589</v>
      </c>
      <c r="D257" s="483">
        <f t="shared" si="20"/>
        <v>0.0085</v>
      </c>
      <c r="E257" s="484">
        <f t="shared" si="18"/>
        <v>0.0674</v>
      </c>
      <c r="F257" s="485"/>
      <c r="G257" s="489"/>
      <c r="H257" s="485">
        <f t="shared" si="22"/>
        <v>8700000</v>
      </c>
      <c r="I257" s="487">
        <v>28</v>
      </c>
      <c r="J257" s="488">
        <f t="shared" si="21"/>
        <v>44982.57534246575</v>
      </c>
    </row>
    <row r="258" spans="2:10" ht="15.75">
      <c r="B258" s="481">
        <v>49032</v>
      </c>
      <c r="C258" s="482">
        <f t="shared" si="19"/>
        <v>0.0589</v>
      </c>
      <c r="D258" s="483">
        <f t="shared" si="20"/>
        <v>0.0085</v>
      </c>
      <c r="E258" s="484">
        <f t="shared" si="18"/>
        <v>0.0674</v>
      </c>
      <c r="F258" s="485"/>
      <c r="G258" s="489"/>
      <c r="H258" s="485">
        <f t="shared" si="22"/>
        <v>8700000</v>
      </c>
      <c r="I258" s="487">
        <v>29</v>
      </c>
      <c r="J258" s="488">
        <f t="shared" si="21"/>
        <v>46589.09589041096</v>
      </c>
    </row>
    <row r="259" spans="2:10" ht="15.75">
      <c r="B259" s="490">
        <v>49033</v>
      </c>
      <c r="C259" s="482">
        <f t="shared" si="19"/>
        <v>0.0589</v>
      </c>
      <c r="D259" s="483">
        <f t="shared" si="20"/>
        <v>0.0085</v>
      </c>
      <c r="E259" s="484">
        <f t="shared" si="18"/>
        <v>0.0674</v>
      </c>
      <c r="F259" s="485"/>
      <c r="G259" s="489">
        <v>500000</v>
      </c>
      <c r="H259" s="485">
        <f t="shared" si="22"/>
        <v>8200000</v>
      </c>
      <c r="I259" s="487">
        <v>1</v>
      </c>
      <c r="J259" s="488">
        <f t="shared" si="21"/>
        <v>1514.1917808219177</v>
      </c>
    </row>
    <row r="260" spans="2:10" ht="15.75">
      <c r="B260" s="481">
        <v>49034</v>
      </c>
      <c r="C260" s="482">
        <f t="shared" si="19"/>
        <v>0.0589</v>
      </c>
      <c r="D260" s="483">
        <f t="shared" si="20"/>
        <v>0.0085</v>
      </c>
      <c r="E260" s="484">
        <f t="shared" si="18"/>
        <v>0.0674</v>
      </c>
      <c r="F260" s="485"/>
      <c r="G260" s="489"/>
      <c r="H260" s="485">
        <f t="shared" si="22"/>
        <v>8200000</v>
      </c>
      <c r="I260" s="487">
        <v>1</v>
      </c>
      <c r="J260" s="488">
        <f t="shared" si="21"/>
        <v>1514.1917808219177</v>
      </c>
    </row>
    <row r="261" spans="2:10" ht="15.75">
      <c r="B261" s="481">
        <v>49064</v>
      </c>
      <c r="C261" s="482">
        <f t="shared" si="19"/>
        <v>0.0589</v>
      </c>
      <c r="D261" s="483">
        <f t="shared" si="20"/>
        <v>0.0085</v>
      </c>
      <c r="E261" s="484">
        <f t="shared" si="18"/>
        <v>0.0674</v>
      </c>
      <c r="F261" s="485"/>
      <c r="G261" s="489"/>
      <c r="H261" s="485">
        <f t="shared" si="22"/>
        <v>8200000</v>
      </c>
      <c r="I261" s="487">
        <v>30</v>
      </c>
      <c r="J261" s="488">
        <f t="shared" si="21"/>
        <v>45425.75342465754</v>
      </c>
    </row>
    <row r="262" spans="2:10" ht="15.75">
      <c r="B262" s="491">
        <v>49095</v>
      </c>
      <c r="C262" s="482">
        <f t="shared" si="19"/>
        <v>0.0589</v>
      </c>
      <c r="D262" s="483">
        <f t="shared" si="20"/>
        <v>0.0085</v>
      </c>
      <c r="E262" s="484">
        <f t="shared" si="18"/>
        <v>0.0674</v>
      </c>
      <c r="F262" s="485"/>
      <c r="G262" s="489"/>
      <c r="H262" s="485">
        <f t="shared" si="22"/>
        <v>8200000</v>
      </c>
      <c r="I262" s="487">
        <v>31</v>
      </c>
      <c r="J262" s="488">
        <f t="shared" si="21"/>
        <v>46939.94520547945</v>
      </c>
    </row>
    <row r="263" spans="2:10" ht="15.75">
      <c r="B263" s="491">
        <v>49124</v>
      </c>
      <c r="C263" s="482">
        <f t="shared" si="19"/>
        <v>0.0589</v>
      </c>
      <c r="D263" s="483">
        <f t="shared" si="20"/>
        <v>0.0085</v>
      </c>
      <c r="E263" s="484">
        <f t="shared" si="18"/>
        <v>0.0674</v>
      </c>
      <c r="F263" s="498"/>
      <c r="G263" s="531"/>
      <c r="H263" s="485">
        <f t="shared" si="22"/>
        <v>8200000</v>
      </c>
      <c r="I263" s="493">
        <v>29</v>
      </c>
      <c r="J263" s="488">
        <f t="shared" si="21"/>
        <v>43911.561643835616</v>
      </c>
    </row>
    <row r="264" spans="2:10" ht="15.75">
      <c r="B264" s="490">
        <v>49125</v>
      </c>
      <c r="C264" s="482">
        <f t="shared" si="19"/>
        <v>0.0589</v>
      </c>
      <c r="D264" s="483">
        <f t="shared" si="20"/>
        <v>0.0085</v>
      </c>
      <c r="E264" s="484">
        <f t="shared" si="18"/>
        <v>0.0674</v>
      </c>
      <c r="F264" s="485"/>
      <c r="G264" s="489">
        <v>500000</v>
      </c>
      <c r="H264" s="485">
        <f t="shared" si="22"/>
        <v>7700000</v>
      </c>
      <c r="I264" s="487">
        <v>1</v>
      </c>
      <c r="J264" s="488">
        <f t="shared" si="21"/>
        <v>1421.86301369863</v>
      </c>
    </row>
    <row r="265" spans="2:10" ht="15.75">
      <c r="B265" s="481">
        <v>49156</v>
      </c>
      <c r="C265" s="482">
        <f t="shared" si="19"/>
        <v>0.0589</v>
      </c>
      <c r="D265" s="483">
        <f t="shared" si="20"/>
        <v>0.0085</v>
      </c>
      <c r="E265" s="484">
        <f t="shared" si="18"/>
        <v>0.0674</v>
      </c>
      <c r="F265" s="485"/>
      <c r="G265" s="489"/>
      <c r="H265" s="485">
        <f t="shared" si="22"/>
        <v>7700000</v>
      </c>
      <c r="I265" s="487">
        <v>31</v>
      </c>
      <c r="J265" s="488">
        <f t="shared" si="21"/>
        <v>44077.75342465754</v>
      </c>
    </row>
    <row r="266" spans="2:10" ht="15.75">
      <c r="B266" s="481">
        <v>49187</v>
      </c>
      <c r="C266" s="482">
        <f t="shared" si="19"/>
        <v>0.0589</v>
      </c>
      <c r="D266" s="483">
        <f t="shared" si="20"/>
        <v>0.0085</v>
      </c>
      <c r="E266" s="484">
        <f t="shared" si="18"/>
        <v>0.0674</v>
      </c>
      <c r="F266" s="485"/>
      <c r="G266" s="489"/>
      <c r="H266" s="485">
        <f t="shared" si="22"/>
        <v>7700000</v>
      </c>
      <c r="I266" s="493">
        <v>31</v>
      </c>
      <c r="J266" s="488">
        <f t="shared" si="21"/>
        <v>44077.75342465754</v>
      </c>
    </row>
    <row r="267" spans="2:10" ht="15.75">
      <c r="B267" s="481">
        <v>49216</v>
      </c>
      <c r="C267" s="482">
        <f t="shared" si="19"/>
        <v>0.0589</v>
      </c>
      <c r="D267" s="483">
        <f t="shared" si="20"/>
        <v>0.0085</v>
      </c>
      <c r="E267" s="484">
        <f t="shared" si="18"/>
        <v>0.0674</v>
      </c>
      <c r="F267" s="485"/>
      <c r="G267" s="489"/>
      <c r="H267" s="485">
        <f t="shared" si="22"/>
        <v>7700000</v>
      </c>
      <c r="I267" s="487">
        <v>29</v>
      </c>
      <c r="J267" s="488">
        <f t="shared" si="21"/>
        <v>41234.02739726027</v>
      </c>
    </row>
    <row r="268" spans="2:10" ht="15.75">
      <c r="B268" s="490">
        <v>49217</v>
      </c>
      <c r="C268" s="482">
        <f t="shared" si="19"/>
        <v>0.0589</v>
      </c>
      <c r="D268" s="483">
        <f t="shared" si="20"/>
        <v>0.0085</v>
      </c>
      <c r="E268" s="484">
        <f t="shared" si="18"/>
        <v>0.0674</v>
      </c>
      <c r="F268" s="485"/>
      <c r="G268" s="489">
        <v>500000</v>
      </c>
      <c r="H268" s="485">
        <f t="shared" si="22"/>
        <v>7200000</v>
      </c>
      <c r="I268" s="487">
        <v>1</v>
      </c>
      <c r="J268" s="488">
        <f t="shared" si="21"/>
        <v>1329.5342465753424</v>
      </c>
    </row>
    <row r="269" spans="2:10" ht="15.75">
      <c r="B269" s="491">
        <v>49248</v>
      </c>
      <c r="C269" s="482">
        <f t="shared" si="19"/>
        <v>0.0589</v>
      </c>
      <c r="D269" s="483">
        <f t="shared" si="20"/>
        <v>0.0085</v>
      </c>
      <c r="E269" s="484">
        <f t="shared" si="18"/>
        <v>0.0674</v>
      </c>
      <c r="F269" s="485"/>
      <c r="G269" s="489"/>
      <c r="H269" s="485">
        <f t="shared" si="22"/>
        <v>7200000</v>
      </c>
      <c r="I269" s="493">
        <v>31</v>
      </c>
      <c r="J269" s="488">
        <f t="shared" si="21"/>
        <v>41215.561643835616</v>
      </c>
    </row>
    <row r="270" spans="2:10" ht="15.75">
      <c r="B270" s="491">
        <v>49278</v>
      </c>
      <c r="C270" s="482">
        <f t="shared" si="19"/>
        <v>0.0589</v>
      </c>
      <c r="D270" s="483">
        <f t="shared" si="20"/>
        <v>0.0085</v>
      </c>
      <c r="E270" s="484">
        <f t="shared" si="18"/>
        <v>0.0674</v>
      </c>
      <c r="F270" s="485"/>
      <c r="G270" s="489"/>
      <c r="H270" s="485">
        <f t="shared" si="22"/>
        <v>7200000</v>
      </c>
      <c r="I270" s="493">
        <v>30</v>
      </c>
      <c r="J270" s="488">
        <f t="shared" si="21"/>
        <v>39886.02739726027</v>
      </c>
    </row>
    <row r="271" spans="2:10" ht="15.75">
      <c r="B271" s="491">
        <v>49307</v>
      </c>
      <c r="C271" s="482">
        <f t="shared" si="19"/>
        <v>0.0589</v>
      </c>
      <c r="D271" s="483">
        <f t="shared" si="20"/>
        <v>0.0085</v>
      </c>
      <c r="E271" s="484">
        <f t="shared" si="18"/>
        <v>0.0674</v>
      </c>
      <c r="F271" s="485"/>
      <c r="G271" s="489"/>
      <c r="H271" s="485">
        <f t="shared" si="22"/>
        <v>7200000</v>
      </c>
      <c r="I271" s="493">
        <v>29</v>
      </c>
      <c r="J271" s="488">
        <f t="shared" si="21"/>
        <v>38556.49315068493</v>
      </c>
    </row>
    <row r="272" spans="2:10" ht="15.75">
      <c r="B272" s="490">
        <v>49308</v>
      </c>
      <c r="C272" s="482">
        <f t="shared" si="19"/>
        <v>0.0589</v>
      </c>
      <c r="D272" s="483">
        <f t="shared" si="20"/>
        <v>0.0085</v>
      </c>
      <c r="E272" s="484">
        <f t="shared" si="18"/>
        <v>0.0674</v>
      </c>
      <c r="F272" s="485"/>
      <c r="G272" s="489">
        <v>500000</v>
      </c>
      <c r="H272" s="485">
        <f t="shared" si="22"/>
        <v>6700000</v>
      </c>
      <c r="I272" s="493">
        <v>1</v>
      </c>
      <c r="J272" s="488">
        <f t="shared" si="21"/>
        <v>1237.2054794520548</v>
      </c>
    </row>
    <row r="273" spans="2:10" ht="15.75">
      <c r="B273" s="430">
        <v>49309</v>
      </c>
      <c r="C273" s="431">
        <f t="shared" si="19"/>
        <v>0.0589</v>
      </c>
      <c r="D273" s="432">
        <f t="shared" si="20"/>
        <v>0.0085</v>
      </c>
      <c r="E273" s="433">
        <f t="shared" si="18"/>
        <v>0.0674</v>
      </c>
      <c r="F273" s="434"/>
      <c r="G273" s="534"/>
      <c r="H273" s="434">
        <f t="shared" si="22"/>
        <v>6700000</v>
      </c>
      <c r="I273" s="436">
        <v>1</v>
      </c>
      <c r="J273" s="437">
        <f t="shared" si="21"/>
        <v>1237.2054794520548</v>
      </c>
    </row>
    <row r="274" spans="2:12" ht="15.75">
      <c r="B274" s="440">
        <v>49340</v>
      </c>
      <c r="C274" s="441">
        <f t="shared" si="19"/>
        <v>0.0589</v>
      </c>
      <c r="D274" s="442">
        <f t="shared" si="20"/>
        <v>0.0085</v>
      </c>
      <c r="E274" s="443">
        <f t="shared" si="18"/>
        <v>0.0674</v>
      </c>
      <c r="F274" s="444"/>
      <c r="G274" s="506"/>
      <c r="H274" s="444">
        <f t="shared" si="22"/>
        <v>6700000</v>
      </c>
      <c r="I274" s="446">
        <v>31</v>
      </c>
      <c r="J274" s="447">
        <f t="shared" si="21"/>
        <v>38353.3698630137</v>
      </c>
      <c r="K274" s="555">
        <f>SUM(J274:J291)</f>
        <v>425866.4383561643</v>
      </c>
      <c r="L274" s="555">
        <f>SUM(G274:G291)</f>
        <v>1000000</v>
      </c>
    </row>
    <row r="275" spans="2:10" ht="15.75">
      <c r="B275" s="448">
        <v>49368</v>
      </c>
      <c r="C275" s="449">
        <f t="shared" si="19"/>
        <v>0.0589</v>
      </c>
      <c r="D275" s="450">
        <f t="shared" si="20"/>
        <v>0.0085</v>
      </c>
      <c r="E275" s="451">
        <f t="shared" si="18"/>
        <v>0.0674</v>
      </c>
      <c r="F275" s="452"/>
      <c r="G275" s="459"/>
      <c r="H275" s="452">
        <f t="shared" si="22"/>
        <v>6700000</v>
      </c>
      <c r="I275" s="454">
        <v>28</v>
      </c>
      <c r="J275" s="455">
        <f t="shared" si="21"/>
        <v>34641.75342465754</v>
      </c>
    </row>
    <row r="276" spans="2:10" ht="15.75">
      <c r="B276" s="448">
        <v>49397</v>
      </c>
      <c r="C276" s="449">
        <f t="shared" si="19"/>
        <v>0.0589</v>
      </c>
      <c r="D276" s="450">
        <f t="shared" si="20"/>
        <v>0.0085</v>
      </c>
      <c r="E276" s="451">
        <f aca="true" t="shared" si="23" ref="E276:E339">C276+D276</f>
        <v>0.0674</v>
      </c>
      <c r="F276" s="452"/>
      <c r="G276" s="459"/>
      <c r="H276" s="452">
        <f t="shared" si="22"/>
        <v>6700000</v>
      </c>
      <c r="I276" s="454">
        <v>29</v>
      </c>
      <c r="J276" s="455">
        <f t="shared" si="21"/>
        <v>35878.95890410959</v>
      </c>
    </row>
    <row r="277" spans="2:10" ht="15.75">
      <c r="B277" s="458">
        <v>49398</v>
      </c>
      <c r="C277" s="449">
        <f aca="true" t="shared" si="24" ref="C277:C340">C276</f>
        <v>0.0589</v>
      </c>
      <c r="D277" s="450">
        <f aca="true" t="shared" si="25" ref="D277:D340">D276</f>
        <v>0.0085</v>
      </c>
      <c r="E277" s="451">
        <f t="shared" si="23"/>
        <v>0.0674</v>
      </c>
      <c r="F277" s="452"/>
      <c r="G277" s="459">
        <v>250000</v>
      </c>
      <c r="H277" s="452">
        <f t="shared" si="22"/>
        <v>6450000</v>
      </c>
      <c r="I277" s="454">
        <v>1</v>
      </c>
      <c r="J277" s="455">
        <f t="shared" si="21"/>
        <v>1191.041095890411</v>
      </c>
    </row>
    <row r="278" spans="2:10" ht="15.75">
      <c r="B278" s="448">
        <v>49399</v>
      </c>
      <c r="C278" s="449">
        <f t="shared" si="24"/>
        <v>0.0589</v>
      </c>
      <c r="D278" s="450">
        <f t="shared" si="25"/>
        <v>0.0085</v>
      </c>
      <c r="E278" s="451">
        <f t="shared" si="23"/>
        <v>0.0674</v>
      </c>
      <c r="F278" s="452"/>
      <c r="G278" s="459"/>
      <c r="H278" s="452">
        <f t="shared" si="22"/>
        <v>6450000</v>
      </c>
      <c r="I278" s="454">
        <v>1</v>
      </c>
      <c r="J278" s="455">
        <f t="shared" si="21"/>
        <v>1191.041095890411</v>
      </c>
    </row>
    <row r="279" spans="2:10" ht="15.75">
      <c r="B279" s="448">
        <v>49429</v>
      </c>
      <c r="C279" s="449">
        <f t="shared" si="24"/>
        <v>0.0589</v>
      </c>
      <c r="D279" s="450">
        <f t="shared" si="25"/>
        <v>0.0085</v>
      </c>
      <c r="E279" s="451">
        <f t="shared" si="23"/>
        <v>0.0674</v>
      </c>
      <c r="F279" s="452"/>
      <c r="G279" s="459"/>
      <c r="H279" s="452">
        <f t="shared" si="22"/>
        <v>6450000</v>
      </c>
      <c r="I279" s="454">
        <v>30</v>
      </c>
      <c r="J279" s="455">
        <f t="shared" si="21"/>
        <v>35731.232876712325</v>
      </c>
    </row>
    <row r="280" spans="2:10" ht="15.75">
      <c r="B280" s="461">
        <v>49460</v>
      </c>
      <c r="C280" s="449">
        <f t="shared" si="24"/>
        <v>0.0589</v>
      </c>
      <c r="D280" s="450">
        <f t="shared" si="25"/>
        <v>0.0085</v>
      </c>
      <c r="E280" s="451">
        <f t="shared" si="23"/>
        <v>0.0674</v>
      </c>
      <c r="F280" s="452"/>
      <c r="G280" s="459"/>
      <c r="H280" s="452">
        <f t="shared" si="22"/>
        <v>6450000</v>
      </c>
      <c r="I280" s="454">
        <v>31</v>
      </c>
      <c r="J280" s="455">
        <f t="shared" si="21"/>
        <v>36922.27397260274</v>
      </c>
    </row>
    <row r="281" spans="2:10" ht="15.75">
      <c r="B281" s="461">
        <v>49489</v>
      </c>
      <c r="C281" s="449">
        <f t="shared" si="24"/>
        <v>0.0589</v>
      </c>
      <c r="D281" s="450">
        <f t="shared" si="25"/>
        <v>0.0085</v>
      </c>
      <c r="E281" s="451">
        <f t="shared" si="23"/>
        <v>0.0674</v>
      </c>
      <c r="F281" s="511"/>
      <c r="G281" s="512"/>
      <c r="H281" s="452">
        <f t="shared" si="22"/>
        <v>6450000</v>
      </c>
      <c r="I281" s="508">
        <v>29</v>
      </c>
      <c r="J281" s="455">
        <f t="shared" si="21"/>
        <v>34540.191780821915</v>
      </c>
    </row>
    <row r="282" spans="2:10" ht="15.75">
      <c r="B282" s="458">
        <v>49490</v>
      </c>
      <c r="C282" s="449">
        <f t="shared" si="24"/>
        <v>0.0589</v>
      </c>
      <c r="D282" s="450">
        <f t="shared" si="25"/>
        <v>0.0085</v>
      </c>
      <c r="E282" s="451">
        <f t="shared" si="23"/>
        <v>0.0674</v>
      </c>
      <c r="F282" s="452"/>
      <c r="G282" s="459">
        <v>250000</v>
      </c>
      <c r="H282" s="452">
        <f t="shared" si="22"/>
        <v>6200000</v>
      </c>
      <c r="I282" s="454">
        <v>1</v>
      </c>
      <c r="J282" s="455">
        <f t="shared" si="21"/>
        <v>1144.876712328767</v>
      </c>
    </row>
    <row r="283" spans="2:10" ht="15.75">
      <c r="B283" s="448">
        <v>49521</v>
      </c>
      <c r="C283" s="449">
        <f t="shared" si="24"/>
        <v>0.0589</v>
      </c>
      <c r="D283" s="450">
        <f t="shared" si="25"/>
        <v>0.0085</v>
      </c>
      <c r="E283" s="451">
        <f t="shared" si="23"/>
        <v>0.0674</v>
      </c>
      <c r="F283" s="452"/>
      <c r="G283" s="459"/>
      <c r="H283" s="452">
        <f t="shared" si="22"/>
        <v>6200000</v>
      </c>
      <c r="I283" s="454">
        <v>31</v>
      </c>
      <c r="J283" s="455">
        <f t="shared" si="21"/>
        <v>35491.17808219178</v>
      </c>
    </row>
    <row r="284" spans="2:10" ht="15.75">
      <c r="B284" s="448">
        <v>49552</v>
      </c>
      <c r="C284" s="449">
        <f t="shared" si="24"/>
        <v>0.0589</v>
      </c>
      <c r="D284" s="450">
        <f t="shared" si="25"/>
        <v>0.0085</v>
      </c>
      <c r="E284" s="451">
        <f t="shared" si="23"/>
        <v>0.0674</v>
      </c>
      <c r="F284" s="452"/>
      <c r="G284" s="459"/>
      <c r="H284" s="452">
        <f t="shared" si="22"/>
        <v>6200000</v>
      </c>
      <c r="I284" s="508">
        <v>31</v>
      </c>
      <c r="J284" s="455">
        <f t="shared" si="21"/>
        <v>35491.17808219178</v>
      </c>
    </row>
    <row r="285" spans="2:10" ht="15.75">
      <c r="B285" s="448">
        <v>49581</v>
      </c>
      <c r="C285" s="449">
        <f t="shared" si="24"/>
        <v>0.0589</v>
      </c>
      <c r="D285" s="450">
        <f t="shared" si="25"/>
        <v>0.0085</v>
      </c>
      <c r="E285" s="451">
        <f t="shared" si="23"/>
        <v>0.0674</v>
      </c>
      <c r="F285" s="452"/>
      <c r="G285" s="459"/>
      <c r="H285" s="452">
        <f t="shared" si="22"/>
        <v>6200000</v>
      </c>
      <c r="I285" s="454">
        <v>29</v>
      </c>
      <c r="J285" s="455">
        <f t="shared" si="21"/>
        <v>33201.42465753425</v>
      </c>
    </row>
    <row r="286" spans="2:10" ht="15.75">
      <c r="B286" s="458">
        <v>49582</v>
      </c>
      <c r="C286" s="449">
        <f t="shared" si="24"/>
        <v>0.0589</v>
      </c>
      <c r="D286" s="450">
        <f t="shared" si="25"/>
        <v>0.0085</v>
      </c>
      <c r="E286" s="451">
        <f t="shared" si="23"/>
        <v>0.0674</v>
      </c>
      <c r="F286" s="452"/>
      <c r="G286" s="459">
        <v>250000</v>
      </c>
      <c r="H286" s="452">
        <f t="shared" si="22"/>
        <v>5950000</v>
      </c>
      <c r="I286" s="454">
        <v>1</v>
      </c>
      <c r="J286" s="455">
        <f aca="true" t="shared" si="26" ref="J286:J349">H286*E286*I286/365</f>
        <v>1098.7123287671234</v>
      </c>
    </row>
    <row r="287" spans="2:10" ht="15.75">
      <c r="B287" s="461">
        <v>49613</v>
      </c>
      <c r="C287" s="449">
        <f t="shared" si="24"/>
        <v>0.0589</v>
      </c>
      <c r="D287" s="450">
        <f t="shared" si="25"/>
        <v>0.0085</v>
      </c>
      <c r="E287" s="451">
        <f t="shared" si="23"/>
        <v>0.0674</v>
      </c>
      <c r="F287" s="452"/>
      <c r="G287" s="459"/>
      <c r="H287" s="452">
        <f t="shared" si="22"/>
        <v>5950000</v>
      </c>
      <c r="I287" s="508">
        <v>31</v>
      </c>
      <c r="J287" s="455">
        <f t="shared" si="26"/>
        <v>34060.08219178082</v>
      </c>
    </row>
    <row r="288" spans="2:10" ht="15.75">
      <c r="B288" s="461">
        <v>49643</v>
      </c>
      <c r="C288" s="449">
        <f t="shared" si="24"/>
        <v>0.0589</v>
      </c>
      <c r="D288" s="450">
        <f t="shared" si="25"/>
        <v>0.0085</v>
      </c>
      <c r="E288" s="451">
        <f t="shared" si="23"/>
        <v>0.0674</v>
      </c>
      <c r="F288" s="452"/>
      <c r="G288" s="459"/>
      <c r="H288" s="452">
        <f t="shared" si="22"/>
        <v>5950000</v>
      </c>
      <c r="I288" s="508">
        <v>30</v>
      </c>
      <c r="J288" s="455">
        <f t="shared" si="26"/>
        <v>32961.3698630137</v>
      </c>
    </row>
    <row r="289" spans="2:10" ht="15.75">
      <c r="B289" s="461">
        <v>49672</v>
      </c>
      <c r="C289" s="449">
        <f t="shared" si="24"/>
        <v>0.0589</v>
      </c>
      <c r="D289" s="450">
        <f t="shared" si="25"/>
        <v>0.0085</v>
      </c>
      <c r="E289" s="451">
        <f t="shared" si="23"/>
        <v>0.0674</v>
      </c>
      <c r="F289" s="452"/>
      <c r="G289" s="459"/>
      <c r="H289" s="452">
        <f t="shared" si="22"/>
        <v>5950000</v>
      </c>
      <c r="I289" s="508">
        <v>29</v>
      </c>
      <c r="J289" s="455">
        <f t="shared" si="26"/>
        <v>31862.657534246577</v>
      </c>
    </row>
    <row r="290" spans="2:10" ht="15.75">
      <c r="B290" s="458">
        <v>49673</v>
      </c>
      <c r="C290" s="449">
        <f t="shared" si="24"/>
        <v>0.0589</v>
      </c>
      <c r="D290" s="450">
        <f t="shared" si="25"/>
        <v>0.0085</v>
      </c>
      <c r="E290" s="451">
        <f t="shared" si="23"/>
        <v>0.0674</v>
      </c>
      <c r="F290" s="452"/>
      <c r="G290" s="459">
        <v>250000</v>
      </c>
      <c r="H290" s="452">
        <f t="shared" si="22"/>
        <v>5700000</v>
      </c>
      <c r="I290" s="508">
        <v>1</v>
      </c>
      <c r="J290" s="455">
        <f t="shared" si="26"/>
        <v>1052.5479452054794</v>
      </c>
    </row>
    <row r="291" spans="2:10" ht="15.75">
      <c r="B291" s="469">
        <v>49674</v>
      </c>
      <c r="C291" s="470">
        <f t="shared" si="24"/>
        <v>0.0589</v>
      </c>
      <c r="D291" s="471">
        <f t="shared" si="25"/>
        <v>0.0085</v>
      </c>
      <c r="E291" s="472">
        <f t="shared" si="23"/>
        <v>0.0674</v>
      </c>
      <c r="F291" s="473"/>
      <c r="G291" s="554"/>
      <c r="H291" s="473">
        <f t="shared" si="22"/>
        <v>5700000</v>
      </c>
      <c r="I291" s="475">
        <v>1</v>
      </c>
      <c r="J291" s="476">
        <f t="shared" si="26"/>
        <v>1052.5479452054794</v>
      </c>
    </row>
    <row r="292" spans="2:12" ht="15.75">
      <c r="B292" s="479">
        <v>49705</v>
      </c>
      <c r="C292" s="421">
        <f t="shared" si="24"/>
        <v>0.0589</v>
      </c>
      <c r="D292" s="422">
        <f t="shared" si="25"/>
        <v>0.0085</v>
      </c>
      <c r="E292" s="423">
        <f t="shared" si="23"/>
        <v>0.0674</v>
      </c>
      <c r="F292" s="426"/>
      <c r="G292" s="425"/>
      <c r="H292" s="426">
        <f t="shared" si="22"/>
        <v>5700000</v>
      </c>
      <c r="I292" s="427">
        <v>31</v>
      </c>
      <c r="J292" s="428">
        <f t="shared" si="26"/>
        <v>32628.986301369863</v>
      </c>
      <c r="K292" s="555">
        <f>SUM(J292:J309)</f>
        <v>359518.9863013698</v>
      </c>
      <c r="L292" s="555">
        <f>SUM(G292:G309)</f>
        <v>1000000</v>
      </c>
    </row>
    <row r="293" spans="2:10" ht="15.75">
      <c r="B293" s="481">
        <v>49734</v>
      </c>
      <c r="C293" s="482">
        <f t="shared" si="24"/>
        <v>0.0589</v>
      </c>
      <c r="D293" s="483">
        <f t="shared" si="25"/>
        <v>0.0085</v>
      </c>
      <c r="E293" s="484">
        <f t="shared" si="23"/>
        <v>0.0674</v>
      </c>
      <c r="F293" s="485"/>
      <c r="G293" s="489"/>
      <c r="H293" s="485">
        <f aca="true" t="shared" si="27" ref="H293:H356">H292-G293</f>
        <v>5700000</v>
      </c>
      <c r="I293" s="487">
        <v>29</v>
      </c>
      <c r="J293" s="488">
        <f t="shared" si="26"/>
        <v>30523.890410958906</v>
      </c>
    </row>
    <row r="294" spans="2:10" ht="15.75">
      <c r="B294" s="481">
        <v>49763</v>
      </c>
      <c r="C294" s="482">
        <f t="shared" si="24"/>
        <v>0.0589</v>
      </c>
      <c r="D294" s="483">
        <f t="shared" si="25"/>
        <v>0.0085</v>
      </c>
      <c r="E294" s="484">
        <f t="shared" si="23"/>
        <v>0.0674</v>
      </c>
      <c r="F294" s="485"/>
      <c r="G294" s="489"/>
      <c r="H294" s="485">
        <f t="shared" si="27"/>
        <v>5700000</v>
      </c>
      <c r="I294" s="487">
        <v>29</v>
      </c>
      <c r="J294" s="488">
        <f t="shared" si="26"/>
        <v>30523.890410958906</v>
      </c>
    </row>
    <row r="295" spans="2:10" ht="15.75">
      <c r="B295" s="490">
        <v>49764</v>
      </c>
      <c r="C295" s="482">
        <f t="shared" si="24"/>
        <v>0.0589</v>
      </c>
      <c r="D295" s="483">
        <f t="shared" si="25"/>
        <v>0.0085</v>
      </c>
      <c r="E295" s="484">
        <f t="shared" si="23"/>
        <v>0.0674</v>
      </c>
      <c r="F295" s="485"/>
      <c r="G295" s="489">
        <v>250000</v>
      </c>
      <c r="H295" s="485">
        <f t="shared" si="27"/>
        <v>5450000</v>
      </c>
      <c r="I295" s="487">
        <v>1</v>
      </c>
      <c r="J295" s="488">
        <f t="shared" si="26"/>
        <v>1006.3835616438356</v>
      </c>
    </row>
    <row r="296" spans="2:10" ht="15.75">
      <c r="B296" s="481">
        <v>49765</v>
      </c>
      <c r="C296" s="482">
        <f t="shared" si="24"/>
        <v>0.0589</v>
      </c>
      <c r="D296" s="483">
        <f t="shared" si="25"/>
        <v>0.0085</v>
      </c>
      <c r="E296" s="484">
        <f t="shared" si="23"/>
        <v>0.0674</v>
      </c>
      <c r="F296" s="485"/>
      <c r="G296" s="489"/>
      <c r="H296" s="485">
        <f t="shared" si="27"/>
        <v>5450000</v>
      </c>
      <c r="I296" s="487">
        <v>1</v>
      </c>
      <c r="J296" s="488">
        <f t="shared" si="26"/>
        <v>1006.3835616438356</v>
      </c>
    </row>
    <row r="297" spans="2:10" ht="15.75">
      <c r="B297" s="481">
        <v>49795</v>
      </c>
      <c r="C297" s="482">
        <f t="shared" si="24"/>
        <v>0.0589</v>
      </c>
      <c r="D297" s="483">
        <f t="shared" si="25"/>
        <v>0.0085</v>
      </c>
      <c r="E297" s="484">
        <f t="shared" si="23"/>
        <v>0.0674</v>
      </c>
      <c r="F297" s="485"/>
      <c r="G297" s="489"/>
      <c r="H297" s="485">
        <f t="shared" si="27"/>
        <v>5450000</v>
      </c>
      <c r="I297" s="487">
        <v>30</v>
      </c>
      <c r="J297" s="488">
        <f t="shared" si="26"/>
        <v>30191.50684931507</v>
      </c>
    </row>
    <row r="298" spans="2:10" ht="15.75">
      <c r="B298" s="491">
        <v>49826</v>
      </c>
      <c r="C298" s="482">
        <f t="shared" si="24"/>
        <v>0.0589</v>
      </c>
      <c r="D298" s="483">
        <f t="shared" si="25"/>
        <v>0.0085</v>
      </c>
      <c r="E298" s="484">
        <f t="shared" si="23"/>
        <v>0.0674</v>
      </c>
      <c r="F298" s="485"/>
      <c r="G298" s="489"/>
      <c r="H298" s="485">
        <f t="shared" si="27"/>
        <v>5450000</v>
      </c>
      <c r="I298" s="487">
        <v>31</v>
      </c>
      <c r="J298" s="488">
        <f t="shared" si="26"/>
        <v>31197.890410958906</v>
      </c>
    </row>
    <row r="299" spans="2:10" ht="15.75">
      <c r="B299" s="491">
        <v>49855</v>
      </c>
      <c r="C299" s="482">
        <f t="shared" si="24"/>
        <v>0.0589</v>
      </c>
      <c r="D299" s="483">
        <f t="shared" si="25"/>
        <v>0.0085</v>
      </c>
      <c r="E299" s="484">
        <f t="shared" si="23"/>
        <v>0.0674</v>
      </c>
      <c r="F299" s="498"/>
      <c r="G299" s="531"/>
      <c r="H299" s="485">
        <f t="shared" si="27"/>
        <v>5450000</v>
      </c>
      <c r="I299" s="493">
        <v>29</v>
      </c>
      <c r="J299" s="488">
        <f t="shared" si="26"/>
        <v>29185.12328767123</v>
      </c>
    </row>
    <row r="300" spans="2:10" ht="15.75">
      <c r="B300" s="490">
        <v>49856</v>
      </c>
      <c r="C300" s="482">
        <f t="shared" si="24"/>
        <v>0.0589</v>
      </c>
      <c r="D300" s="483">
        <f t="shared" si="25"/>
        <v>0.0085</v>
      </c>
      <c r="E300" s="484">
        <f t="shared" si="23"/>
        <v>0.0674</v>
      </c>
      <c r="F300" s="485"/>
      <c r="G300" s="489">
        <v>250000</v>
      </c>
      <c r="H300" s="485">
        <f t="shared" si="27"/>
        <v>5200000</v>
      </c>
      <c r="I300" s="487">
        <v>1</v>
      </c>
      <c r="J300" s="488">
        <f t="shared" si="26"/>
        <v>960.2191780821918</v>
      </c>
    </row>
    <row r="301" spans="2:10" ht="15.75">
      <c r="B301" s="481">
        <v>49887</v>
      </c>
      <c r="C301" s="482">
        <f t="shared" si="24"/>
        <v>0.0589</v>
      </c>
      <c r="D301" s="483">
        <f t="shared" si="25"/>
        <v>0.0085</v>
      </c>
      <c r="E301" s="484">
        <f t="shared" si="23"/>
        <v>0.0674</v>
      </c>
      <c r="F301" s="485"/>
      <c r="G301" s="489"/>
      <c r="H301" s="485">
        <f t="shared" si="27"/>
        <v>5200000</v>
      </c>
      <c r="I301" s="487">
        <v>31</v>
      </c>
      <c r="J301" s="488">
        <f t="shared" si="26"/>
        <v>29766.794520547945</v>
      </c>
    </row>
    <row r="302" spans="2:10" ht="15.75">
      <c r="B302" s="481">
        <v>49918</v>
      </c>
      <c r="C302" s="482">
        <f t="shared" si="24"/>
        <v>0.0589</v>
      </c>
      <c r="D302" s="483">
        <f t="shared" si="25"/>
        <v>0.0085</v>
      </c>
      <c r="E302" s="484">
        <f t="shared" si="23"/>
        <v>0.0674</v>
      </c>
      <c r="F302" s="485"/>
      <c r="G302" s="489"/>
      <c r="H302" s="485">
        <f t="shared" si="27"/>
        <v>5200000</v>
      </c>
      <c r="I302" s="493">
        <v>31</v>
      </c>
      <c r="J302" s="488">
        <f t="shared" si="26"/>
        <v>29766.794520547945</v>
      </c>
    </row>
    <row r="303" spans="2:10" ht="15.75">
      <c r="B303" s="481">
        <v>49947</v>
      </c>
      <c r="C303" s="482">
        <f t="shared" si="24"/>
        <v>0.0589</v>
      </c>
      <c r="D303" s="483">
        <f t="shared" si="25"/>
        <v>0.0085</v>
      </c>
      <c r="E303" s="484">
        <f t="shared" si="23"/>
        <v>0.0674</v>
      </c>
      <c r="F303" s="485"/>
      <c r="G303" s="489"/>
      <c r="H303" s="485">
        <f t="shared" si="27"/>
        <v>5200000</v>
      </c>
      <c r="I303" s="487">
        <v>29</v>
      </c>
      <c r="J303" s="488">
        <f t="shared" si="26"/>
        <v>27846.35616438356</v>
      </c>
    </row>
    <row r="304" spans="2:10" ht="15.75">
      <c r="B304" s="490">
        <v>49948</v>
      </c>
      <c r="C304" s="482">
        <f t="shared" si="24"/>
        <v>0.0589</v>
      </c>
      <c r="D304" s="483">
        <f t="shared" si="25"/>
        <v>0.0085</v>
      </c>
      <c r="E304" s="484">
        <f t="shared" si="23"/>
        <v>0.0674</v>
      </c>
      <c r="F304" s="485"/>
      <c r="G304" s="489">
        <v>250000</v>
      </c>
      <c r="H304" s="485">
        <f t="shared" si="27"/>
        <v>4950000</v>
      </c>
      <c r="I304" s="487">
        <v>1</v>
      </c>
      <c r="J304" s="488">
        <f t="shared" si="26"/>
        <v>914.054794520548</v>
      </c>
    </row>
    <row r="305" spans="2:10" ht="15.75">
      <c r="B305" s="491">
        <v>49979</v>
      </c>
      <c r="C305" s="482">
        <f t="shared" si="24"/>
        <v>0.0589</v>
      </c>
      <c r="D305" s="483">
        <f t="shared" si="25"/>
        <v>0.0085</v>
      </c>
      <c r="E305" s="484">
        <f t="shared" si="23"/>
        <v>0.0674</v>
      </c>
      <c r="F305" s="485"/>
      <c r="G305" s="489"/>
      <c r="H305" s="485">
        <f t="shared" si="27"/>
        <v>4950000</v>
      </c>
      <c r="I305" s="493">
        <v>31</v>
      </c>
      <c r="J305" s="488">
        <f t="shared" si="26"/>
        <v>28335.698630136987</v>
      </c>
    </row>
    <row r="306" spans="2:10" ht="15.75">
      <c r="B306" s="491">
        <v>50009</v>
      </c>
      <c r="C306" s="482">
        <f t="shared" si="24"/>
        <v>0.0589</v>
      </c>
      <c r="D306" s="483">
        <f t="shared" si="25"/>
        <v>0.0085</v>
      </c>
      <c r="E306" s="484">
        <f t="shared" si="23"/>
        <v>0.0674</v>
      </c>
      <c r="F306" s="485"/>
      <c r="G306" s="489"/>
      <c r="H306" s="485">
        <f t="shared" si="27"/>
        <v>4950000</v>
      </c>
      <c r="I306" s="493">
        <v>30</v>
      </c>
      <c r="J306" s="488">
        <f t="shared" si="26"/>
        <v>27421.64383561644</v>
      </c>
    </row>
    <row r="307" spans="2:10" ht="15.75">
      <c r="B307" s="491">
        <v>50038</v>
      </c>
      <c r="C307" s="482">
        <f t="shared" si="24"/>
        <v>0.0589</v>
      </c>
      <c r="D307" s="483">
        <f t="shared" si="25"/>
        <v>0.0085</v>
      </c>
      <c r="E307" s="484">
        <f t="shared" si="23"/>
        <v>0.0674</v>
      </c>
      <c r="F307" s="485"/>
      <c r="G307" s="489"/>
      <c r="H307" s="485">
        <f t="shared" si="27"/>
        <v>4950000</v>
      </c>
      <c r="I307" s="493">
        <v>29</v>
      </c>
      <c r="J307" s="488">
        <f t="shared" si="26"/>
        <v>26507.58904109589</v>
      </c>
    </row>
    <row r="308" spans="2:10" ht="15.75">
      <c r="B308" s="490">
        <v>50039</v>
      </c>
      <c r="C308" s="482">
        <f t="shared" si="24"/>
        <v>0.0589</v>
      </c>
      <c r="D308" s="483">
        <f t="shared" si="25"/>
        <v>0.0085</v>
      </c>
      <c r="E308" s="484">
        <f t="shared" si="23"/>
        <v>0.0674</v>
      </c>
      <c r="F308" s="485"/>
      <c r="G308" s="489">
        <v>250000</v>
      </c>
      <c r="H308" s="485">
        <f t="shared" si="27"/>
        <v>4700000</v>
      </c>
      <c r="I308" s="493">
        <v>1</v>
      </c>
      <c r="J308" s="488">
        <f t="shared" si="26"/>
        <v>867.8904109589041</v>
      </c>
    </row>
    <row r="309" spans="2:10" ht="15.75">
      <c r="B309" s="430">
        <v>50040</v>
      </c>
      <c r="C309" s="431">
        <f t="shared" si="24"/>
        <v>0.0589</v>
      </c>
      <c r="D309" s="432">
        <f t="shared" si="25"/>
        <v>0.0085</v>
      </c>
      <c r="E309" s="433">
        <f t="shared" si="23"/>
        <v>0.0674</v>
      </c>
      <c r="F309" s="434"/>
      <c r="G309" s="534"/>
      <c r="H309" s="434">
        <f t="shared" si="27"/>
        <v>4700000</v>
      </c>
      <c r="I309" s="436">
        <v>1</v>
      </c>
      <c r="J309" s="437">
        <f t="shared" si="26"/>
        <v>867.8904109589041</v>
      </c>
    </row>
    <row r="310" spans="2:12" ht="15.75">
      <c r="B310" s="440">
        <v>50071</v>
      </c>
      <c r="C310" s="441">
        <f t="shared" si="24"/>
        <v>0.0589</v>
      </c>
      <c r="D310" s="442">
        <f t="shared" si="25"/>
        <v>0.0085</v>
      </c>
      <c r="E310" s="443">
        <f t="shared" si="23"/>
        <v>0.0674</v>
      </c>
      <c r="F310" s="444"/>
      <c r="G310" s="506"/>
      <c r="H310" s="444">
        <f t="shared" si="27"/>
        <v>4700000</v>
      </c>
      <c r="I310" s="446">
        <v>31</v>
      </c>
      <c r="J310" s="447">
        <f t="shared" si="26"/>
        <v>26904.602739726026</v>
      </c>
      <c r="K310" s="555">
        <f>SUM(J310:J327)</f>
        <v>291066.43835616444</v>
      </c>
      <c r="L310" s="555">
        <f>SUM(G310:G327)</f>
        <v>1000000</v>
      </c>
    </row>
    <row r="311" spans="2:10" ht="15.75">
      <c r="B311" s="448">
        <v>50099</v>
      </c>
      <c r="C311" s="449">
        <f t="shared" si="24"/>
        <v>0.0589</v>
      </c>
      <c r="D311" s="450">
        <f t="shared" si="25"/>
        <v>0.0085</v>
      </c>
      <c r="E311" s="451">
        <f t="shared" si="23"/>
        <v>0.0674</v>
      </c>
      <c r="F311" s="452"/>
      <c r="G311" s="459"/>
      <c r="H311" s="452">
        <f t="shared" si="27"/>
        <v>4700000</v>
      </c>
      <c r="I311" s="454">
        <v>28</v>
      </c>
      <c r="J311" s="455">
        <f t="shared" si="26"/>
        <v>24300.931506849316</v>
      </c>
    </row>
    <row r="312" spans="2:10" ht="15.75">
      <c r="B312" s="448">
        <v>50128</v>
      </c>
      <c r="C312" s="449">
        <f t="shared" si="24"/>
        <v>0.0589</v>
      </c>
      <c r="D312" s="450">
        <f t="shared" si="25"/>
        <v>0.0085</v>
      </c>
      <c r="E312" s="451">
        <f t="shared" si="23"/>
        <v>0.0674</v>
      </c>
      <c r="F312" s="452"/>
      <c r="G312" s="459"/>
      <c r="H312" s="452">
        <f t="shared" si="27"/>
        <v>4700000</v>
      </c>
      <c r="I312" s="454">
        <v>29</v>
      </c>
      <c r="J312" s="455">
        <f t="shared" si="26"/>
        <v>25168.821917808218</v>
      </c>
    </row>
    <row r="313" spans="2:10" ht="15.75">
      <c r="B313" s="458">
        <v>50129</v>
      </c>
      <c r="C313" s="449">
        <f t="shared" si="24"/>
        <v>0.0589</v>
      </c>
      <c r="D313" s="450">
        <f t="shared" si="25"/>
        <v>0.0085</v>
      </c>
      <c r="E313" s="451">
        <f t="shared" si="23"/>
        <v>0.0674</v>
      </c>
      <c r="F313" s="452"/>
      <c r="G313" s="459">
        <v>250000</v>
      </c>
      <c r="H313" s="452">
        <f t="shared" si="27"/>
        <v>4450000</v>
      </c>
      <c r="I313" s="454">
        <v>1</v>
      </c>
      <c r="J313" s="455">
        <f t="shared" si="26"/>
        <v>821.7260273972603</v>
      </c>
    </row>
    <row r="314" spans="2:10" ht="15.75">
      <c r="B314" s="448">
        <v>50130</v>
      </c>
      <c r="C314" s="449">
        <f t="shared" si="24"/>
        <v>0.0589</v>
      </c>
      <c r="D314" s="450">
        <f t="shared" si="25"/>
        <v>0.0085</v>
      </c>
      <c r="E314" s="451">
        <f t="shared" si="23"/>
        <v>0.0674</v>
      </c>
      <c r="F314" s="452"/>
      <c r="G314" s="459"/>
      <c r="H314" s="452">
        <f t="shared" si="27"/>
        <v>4450000</v>
      </c>
      <c r="I314" s="454">
        <v>1</v>
      </c>
      <c r="J314" s="455">
        <f t="shared" si="26"/>
        <v>821.7260273972603</v>
      </c>
    </row>
    <row r="315" spans="2:10" ht="15.75">
      <c r="B315" s="448">
        <v>50160</v>
      </c>
      <c r="C315" s="449">
        <f t="shared" si="24"/>
        <v>0.0589</v>
      </c>
      <c r="D315" s="450">
        <f t="shared" si="25"/>
        <v>0.0085</v>
      </c>
      <c r="E315" s="451">
        <f t="shared" si="23"/>
        <v>0.0674</v>
      </c>
      <c r="F315" s="452"/>
      <c r="G315" s="459"/>
      <c r="H315" s="452">
        <f t="shared" si="27"/>
        <v>4450000</v>
      </c>
      <c r="I315" s="454">
        <v>30</v>
      </c>
      <c r="J315" s="455">
        <f t="shared" si="26"/>
        <v>24651.780821917808</v>
      </c>
    </row>
    <row r="316" spans="2:10" ht="15.75">
      <c r="B316" s="461">
        <v>50191</v>
      </c>
      <c r="C316" s="449">
        <f t="shared" si="24"/>
        <v>0.0589</v>
      </c>
      <c r="D316" s="450">
        <f t="shared" si="25"/>
        <v>0.0085</v>
      </c>
      <c r="E316" s="451">
        <f t="shared" si="23"/>
        <v>0.0674</v>
      </c>
      <c r="F316" s="452"/>
      <c r="G316" s="459"/>
      <c r="H316" s="452">
        <f t="shared" si="27"/>
        <v>4450000</v>
      </c>
      <c r="I316" s="454">
        <v>31</v>
      </c>
      <c r="J316" s="455">
        <f t="shared" si="26"/>
        <v>25473.50684931507</v>
      </c>
    </row>
    <row r="317" spans="2:10" ht="15.75">
      <c r="B317" s="461">
        <v>50220</v>
      </c>
      <c r="C317" s="449">
        <f t="shared" si="24"/>
        <v>0.0589</v>
      </c>
      <c r="D317" s="450">
        <f t="shared" si="25"/>
        <v>0.0085</v>
      </c>
      <c r="E317" s="451">
        <f t="shared" si="23"/>
        <v>0.0674</v>
      </c>
      <c r="F317" s="511"/>
      <c r="G317" s="512"/>
      <c r="H317" s="452">
        <f t="shared" si="27"/>
        <v>4450000</v>
      </c>
      <c r="I317" s="508">
        <v>29</v>
      </c>
      <c r="J317" s="455">
        <f t="shared" si="26"/>
        <v>23830.054794520547</v>
      </c>
    </row>
    <row r="318" spans="2:10" ht="15.75">
      <c r="B318" s="458">
        <v>50221</v>
      </c>
      <c r="C318" s="449">
        <f t="shared" si="24"/>
        <v>0.0589</v>
      </c>
      <c r="D318" s="450">
        <f t="shared" si="25"/>
        <v>0.0085</v>
      </c>
      <c r="E318" s="451">
        <f t="shared" si="23"/>
        <v>0.0674</v>
      </c>
      <c r="F318" s="452"/>
      <c r="G318" s="459">
        <v>250000</v>
      </c>
      <c r="H318" s="452">
        <f t="shared" si="27"/>
        <v>4200000</v>
      </c>
      <c r="I318" s="454">
        <v>1</v>
      </c>
      <c r="J318" s="455">
        <f t="shared" si="26"/>
        <v>775.5616438356165</v>
      </c>
    </row>
    <row r="319" spans="2:10" ht="15.75">
      <c r="B319" s="448">
        <v>50252</v>
      </c>
      <c r="C319" s="449">
        <f t="shared" si="24"/>
        <v>0.0589</v>
      </c>
      <c r="D319" s="450">
        <f t="shared" si="25"/>
        <v>0.0085</v>
      </c>
      <c r="E319" s="451">
        <f t="shared" si="23"/>
        <v>0.0674</v>
      </c>
      <c r="F319" s="452"/>
      <c r="G319" s="459"/>
      <c r="H319" s="452">
        <f t="shared" si="27"/>
        <v>4200000</v>
      </c>
      <c r="I319" s="454">
        <v>31</v>
      </c>
      <c r="J319" s="455">
        <f t="shared" si="26"/>
        <v>24042.41095890411</v>
      </c>
    </row>
    <row r="320" spans="2:10" ht="15.75">
      <c r="B320" s="448">
        <v>50283</v>
      </c>
      <c r="C320" s="449">
        <f t="shared" si="24"/>
        <v>0.0589</v>
      </c>
      <c r="D320" s="450">
        <f t="shared" si="25"/>
        <v>0.0085</v>
      </c>
      <c r="E320" s="451">
        <f t="shared" si="23"/>
        <v>0.0674</v>
      </c>
      <c r="F320" s="452"/>
      <c r="G320" s="459"/>
      <c r="H320" s="452">
        <f t="shared" si="27"/>
        <v>4200000</v>
      </c>
      <c r="I320" s="508">
        <v>31</v>
      </c>
      <c r="J320" s="455">
        <f t="shared" si="26"/>
        <v>24042.41095890411</v>
      </c>
    </row>
    <row r="321" spans="2:10" ht="15.75">
      <c r="B321" s="448">
        <v>50312</v>
      </c>
      <c r="C321" s="449">
        <f t="shared" si="24"/>
        <v>0.0589</v>
      </c>
      <c r="D321" s="450">
        <f t="shared" si="25"/>
        <v>0.0085</v>
      </c>
      <c r="E321" s="451">
        <f t="shared" si="23"/>
        <v>0.0674</v>
      </c>
      <c r="F321" s="452"/>
      <c r="G321" s="459"/>
      <c r="H321" s="452">
        <f t="shared" si="27"/>
        <v>4200000</v>
      </c>
      <c r="I321" s="454">
        <v>29</v>
      </c>
      <c r="J321" s="455">
        <f t="shared" si="26"/>
        <v>22491.287671232876</v>
      </c>
    </row>
    <row r="322" spans="2:10" ht="15.75">
      <c r="B322" s="458">
        <v>50313</v>
      </c>
      <c r="C322" s="449">
        <f t="shared" si="24"/>
        <v>0.0589</v>
      </c>
      <c r="D322" s="450">
        <f t="shared" si="25"/>
        <v>0.0085</v>
      </c>
      <c r="E322" s="451">
        <f t="shared" si="23"/>
        <v>0.0674</v>
      </c>
      <c r="F322" s="452"/>
      <c r="G322" s="459">
        <v>250000</v>
      </c>
      <c r="H322" s="452">
        <f t="shared" si="27"/>
        <v>3950000</v>
      </c>
      <c r="I322" s="454">
        <v>1</v>
      </c>
      <c r="J322" s="455">
        <f t="shared" si="26"/>
        <v>729.3972602739726</v>
      </c>
    </row>
    <row r="323" spans="2:10" ht="15.75">
      <c r="B323" s="461">
        <v>50344</v>
      </c>
      <c r="C323" s="449">
        <f t="shared" si="24"/>
        <v>0.0589</v>
      </c>
      <c r="D323" s="450">
        <f t="shared" si="25"/>
        <v>0.0085</v>
      </c>
      <c r="E323" s="451">
        <f t="shared" si="23"/>
        <v>0.0674</v>
      </c>
      <c r="F323" s="452"/>
      <c r="G323" s="459"/>
      <c r="H323" s="452">
        <f t="shared" si="27"/>
        <v>3950000</v>
      </c>
      <c r="I323" s="508">
        <v>31</v>
      </c>
      <c r="J323" s="455">
        <f t="shared" si="26"/>
        <v>22611.31506849315</v>
      </c>
    </row>
    <row r="324" spans="2:10" ht="15.75">
      <c r="B324" s="461">
        <v>50374</v>
      </c>
      <c r="C324" s="449">
        <f t="shared" si="24"/>
        <v>0.0589</v>
      </c>
      <c r="D324" s="450">
        <f t="shared" si="25"/>
        <v>0.0085</v>
      </c>
      <c r="E324" s="451">
        <f t="shared" si="23"/>
        <v>0.0674</v>
      </c>
      <c r="F324" s="452"/>
      <c r="G324" s="459"/>
      <c r="H324" s="452">
        <f t="shared" si="27"/>
        <v>3950000</v>
      </c>
      <c r="I324" s="508">
        <v>30</v>
      </c>
      <c r="J324" s="455">
        <f t="shared" si="26"/>
        <v>21881.91780821918</v>
      </c>
    </row>
    <row r="325" spans="2:10" ht="15.75">
      <c r="B325" s="461">
        <v>50403</v>
      </c>
      <c r="C325" s="449">
        <f t="shared" si="24"/>
        <v>0.0589</v>
      </c>
      <c r="D325" s="450">
        <f t="shared" si="25"/>
        <v>0.0085</v>
      </c>
      <c r="E325" s="451">
        <f t="shared" si="23"/>
        <v>0.0674</v>
      </c>
      <c r="F325" s="452"/>
      <c r="G325" s="459"/>
      <c r="H325" s="452">
        <f t="shared" si="27"/>
        <v>3950000</v>
      </c>
      <c r="I325" s="508">
        <v>29</v>
      </c>
      <c r="J325" s="455">
        <f t="shared" si="26"/>
        <v>21152.520547945205</v>
      </c>
    </row>
    <row r="326" spans="2:10" ht="15.75">
      <c r="B326" s="458">
        <v>50404</v>
      </c>
      <c r="C326" s="449">
        <f t="shared" si="24"/>
        <v>0.0589</v>
      </c>
      <c r="D326" s="450">
        <f t="shared" si="25"/>
        <v>0.0085</v>
      </c>
      <c r="E326" s="451">
        <f t="shared" si="23"/>
        <v>0.0674</v>
      </c>
      <c r="F326" s="452"/>
      <c r="G326" s="459">
        <v>250000</v>
      </c>
      <c r="H326" s="452">
        <f t="shared" si="27"/>
        <v>3700000</v>
      </c>
      <c r="I326" s="508">
        <v>1</v>
      </c>
      <c r="J326" s="455">
        <f t="shared" si="26"/>
        <v>683.2328767123288</v>
      </c>
    </row>
    <row r="327" spans="2:10" ht="15.75">
      <c r="B327" s="469">
        <v>50405</v>
      </c>
      <c r="C327" s="470">
        <f t="shared" si="24"/>
        <v>0.0589</v>
      </c>
      <c r="D327" s="471">
        <f t="shared" si="25"/>
        <v>0.0085</v>
      </c>
      <c r="E327" s="472">
        <f t="shared" si="23"/>
        <v>0.0674</v>
      </c>
      <c r="F327" s="473"/>
      <c r="G327" s="554"/>
      <c r="H327" s="473">
        <f t="shared" si="27"/>
        <v>3700000</v>
      </c>
      <c r="I327" s="475">
        <v>1</v>
      </c>
      <c r="J327" s="476">
        <f t="shared" si="26"/>
        <v>683.2328767123288</v>
      </c>
    </row>
    <row r="328" spans="2:12" ht="15.75">
      <c r="B328" s="479">
        <v>50436</v>
      </c>
      <c r="C328" s="421">
        <f t="shared" si="24"/>
        <v>0.0589</v>
      </c>
      <c r="D328" s="422">
        <f t="shared" si="25"/>
        <v>0.0085</v>
      </c>
      <c r="E328" s="423">
        <f t="shared" si="23"/>
        <v>0.0674</v>
      </c>
      <c r="F328" s="426"/>
      <c r="G328" s="425"/>
      <c r="H328" s="426">
        <f t="shared" si="27"/>
        <v>3700000</v>
      </c>
      <c r="I328" s="427">
        <v>31</v>
      </c>
      <c r="J328" s="428">
        <f t="shared" si="26"/>
        <v>21180.219178082192</v>
      </c>
      <c r="K328" s="555">
        <f>SUM(J328:J345)</f>
        <v>223666.43835616435</v>
      </c>
      <c r="L328" s="555">
        <f>SUM(G328:G345)</f>
        <v>1000000</v>
      </c>
    </row>
    <row r="329" spans="2:10" ht="15.75">
      <c r="B329" s="481">
        <v>50464</v>
      </c>
      <c r="C329" s="482">
        <f t="shared" si="24"/>
        <v>0.0589</v>
      </c>
      <c r="D329" s="483">
        <f t="shared" si="25"/>
        <v>0.0085</v>
      </c>
      <c r="E329" s="484">
        <f t="shared" si="23"/>
        <v>0.0674</v>
      </c>
      <c r="F329" s="485"/>
      <c r="G329" s="489"/>
      <c r="H329" s="485">
        <f t="shared" si="27"/>
        <v>3700000</v>
      </c>
      <c r="I329" s="487">
        <v>28</v>
      </c>
      <c r="J329" s="488">
        <f t="shared" si="26"/>
        <v>19130.520547945205</v>
      </c>
    </row>
    <row r="330" spans="2:10" ht="15.75">
      <c r="B330" s="481">
        <v>50493</v>
      </c>
      <c r="C330" s="482">
        <f t="shared" si="24"/>
        <v>0.0589</v>
      </c>
      <c r="D330" s="483">
        <f t="shared" si="25"/>
        <v>0.0085</v>
      </c>
      <c r="E330" s="484">
        <f t="shared" si="23"/>
        <v>0.0674</v>
      </c>
      <c r="F330" s="485"/>
      <c r="G330" s="489"/>
      <c r="H330" s="485">
        <f t="shared" si="27"/>
        <v>3700000</v>
      </c>
      <c r="I330" s="487">
        <v>29</v>
      </c>
      <c r="J330" s="488">
        <f t="shared" si="26"/>
        <v>19813.753424657534</v>
      </c>
    </row>
    <row r="331" spans="2:10" ht="15.75">
      <c r="B331" s="490">
        <v>50494</v>
      </c>
      <c r="C331" s="482">
        <f t="shared" si="24"/>
        <v>0.0589</v>
      </c>
      <c r="D331" s="483">
        <f t="shared" si="25"/>
        <v>0.0085</v>
      </c>
      <c r="E331" s="484">
        <f t="shared" si="23"/>
        <v>0.0674</v>
      </c>
      <c r="F331" s="485"/>
      <c r="G331" s="489">
        <v>250000</v>
      </c>
      <c r="H331" s="485">
        <f t="shared" si="27"/>
        <v>3450000</v>
      </c>
      <c r="I331" s="487">
        <v>1</v>
      </c>
      <c r="J331" s="488">
        <f t="shared" si="26"/>
        <v>637.068493150685</v>
      </c>
    </row>
    <row r="332" spans="2:10" ht="15.75">
      <c r="B332" s="481">
        <v>50495</v>
      </c>
      <c r="C332" s="482">
        <f t="shared" si="24"/>
        <v>0.0589</v>
      </c>
      <c r="D332" s="483">
        <f t="shared" si="25"/>
        <v>0.0085</v>
      </c>
      <c r="E332" s="484">
        <f t="shared" si="23"/>
        <v>0.0674</v>
      </c>
      <c r="F332" s="485"/>
      <c r="G332" s="489"/>
      <c r="H332" s="485">
        <f t="shared" si="27"/>
        <v>3450000</v>
      </c>
      <c r="I332" s="487">
        <v>1</v>
      </c>
      <c r="J332" s="488">
        <f t="shared" si="26"/>
        <v>637.068493150685</v>
      </c>
    </row>
    <row r="333" spans="2:10" ht="15.75">
      <c r="B333" s="481">
        <v>50525</v>
      </c>
      <c r="C333" s="482">
        <f t="shared" si="24"/>
        <v>0.0589</v>
      </c>
      <c r="D333" s="483">
        <f t="shared" si="25"/>
        <v>0.0085</v>
      </c>
      <c r="E333" s="484">
        <f t="shared" si="23"/>
        <v>0.0674</v>
      </c>
      <c r="F333" s="485"/>
      <c r="G333" s="489"/>
      <c r="H333" s="485">
        <f t="shared" si="27"/>
        <v>3450000</v>
      </c>
      <c r="I333" s="487">
        <v>30</v>
      </c>
      <c r="J333" s="488">
        <f t="shared" si="26"/>
        <v>19112.054794520547</v>
      </c>
    </row>
    <row r="334" spans="2:10" ht="15.75">
      <c r="B334" s="491">
        <v>50556</v>
      </c>
      <c r="C334" s="482">
        <f t="shared" si="24"/>
        <v>0.0589</v>
      </c>
      <c r="D334" s="483">
        <f t="shared" si="25"/>
        <v>0.0085</v>
      </c>
      <c r="E334" s="484">
        <f t="shared" si="23"/>
        <v>0.0674</v>
      </c>
      <c r="F334" s="485"/>
      <c r="G334" s="489"/>
      <c r="H334" s="485">
        <f t="shared" si="27"/>
        <v>3450000</v>
      </c>
      <c r="I334" s="487">
        <v>31</v>
      </c>
      <c r="J334" s="488">
        <f t="shared" si="26"/>
        <v>19749.12328767123</v>
      </c>
    </row>
    <row r="335" spans="2:10" ht="15.75">
      <c r="B335" s="491">
        <v>50585</v>
      </c>
      <c r="C335" s="482">
        <f t="shared" si="24"/>
        <v>0.0589</v>
      </c>
      <c r="D335" s="483">
        <f t="shared" si="25"/>
        <v>0.0085</v>
      </c>
      <c r="E335" s="484">
        <f t="shared" si="23"/>
        <v>0.0674</v>
      </c>
      <c r="F335" s="498"/>
      <c r="G335" s="531"/>
      <c r="H335" s="485">
        <f t="shared" si="27"/>
        <v>3450000</v>
      </c>
      <c r="I335" s="493">
        <v>29</v>
      </c>
      <c r="J335" s="488">
        <f t="shared" si="26"/>
        <v>18474.986301369863</v>
      </c>
    </row>
    <row r="336" spans="2:10" ht="15.75">
      <c r="B336" s="490">
        <v>50586</v>
      </c>
      <c r="C336" s="482">
        <f t="shared" si="24"/>
        <v>0.0589</v>
      </c>
      <c r="D336" s="483">
        <f t="shared" si="25"/>
        <v>0.0085</v>
      </c>
      <c r="E336" s="484">
        <f t="shared" si="23"/>
        <v>0.0674</v>
      </c>
      <c r="F336" s="485"/>
      <c r="G336" s="489">
        <v>250000</v>
      </c>
      <c r="H336" s="485">
        <f t="shared" si="27"/>
        <v>3200000</v>
      </c>
      <c r="I336" s="487">
        <v>1</v>
      </c>
      <c r="J336" s="488">
        <f t="shared" si="26"/>
        <v>590.9041095890411</v>
      </c>
    </row>
    <row r="337" spans="2:10" ht="15.75">
      <c r="B337" s="481">
        <v>50617</v>
      </c>
      <c r="C337" s="482">
        <f t="shared" si="24"/>
        <v>0.0589</v>
      </c>
      <c r="D337" s="483">
        <f t="shared" si="25"/>
        <v>0.0085</v>
      </c>
      <c r="E337" s="484">
        <f t="shared" si="23"/>
        <v>0.0674</v>
      </c>
      <c r="F337" s="485"/>
      <c r="G337" s="489"/>
      <c r="H337" s="485">
        <f t="shared" si="27"/>
        <v>3200000</v>
      </c>
      <c r="I337" s="487">
        <v>31</v>
      </c>
      <c r="J337" s="488">
        <f t="shared" si="26"/>
        <v>18318.027397260274</v>
      </c>
    </row>
    <row r="338" spans="2:10" ht="15.75">
      <c r="B338" s="481">
        <v>50648</v>
      </c>
      <c r="C338" s="482">
        <f t="shared" si="24"/>
        <v>0.0589</v>
      </c>
      <c r="D338" s="483">
        <f t="shared" si="25"/>
        <v>0.0085</v>
      </c>
      <c r="E338" s="484">
        <f t="shared" si="23"/>
        <v>0.0674</v>
      </c>
      <c r="F338" s="485"/>
      <c r="G338" s="489"/>
      <c r="H338" s="485">
        <f t="shared" si="27"/>
        <v>3200000</v>
      </c>
      <c r="I338" s="493">
        <v>31</v>
      </c>
      <c r="J338" s="488">
        <f t="shared" si="26"/>
        <v>18318.027397260274</v>
      </c>
    </row>
    <row r="339" spans="2:10" ht="15.75">
      <c r="B339" s="481">
        <v>50677</v>
      </c>
      <c r="C339" s="482">
        <f t="shared" si="24"/>
        <v>0.0589</v>
      </c>
      <c r="D339" s="483">
        <f t="shared" si="25"/>
        <v>0.0085</v>
      </c>
      <c r="E339" s="484">
        <f t="shared" si="23"/>
        <v>0.0674</v>
      </c>
      <c r="F339" s="485"/>
      <c r="G339" s="489"/>
      <c r="H339" s="485">
        <f t="shared" si="27"/>
        <v>3200000</v>
      </c>
      <c r="I339" s="487">
        <v>29</v>
      </c>
      <c r="J339" s="488">
        <f t="shared" si="26"/>
        <v>17136.219178082192</v>
      </c>
    </row>
    <row r="340" spans="2:10" ht="15.75">
      <c r="B340" s="490">
        <v>50678</v>
      </c>
      <c r="C340" s="482">
        <f t="shared" si="24"/>
        <v>0.0589</v>
      </c>
      <c r="D340" s="483">
        <f t="shared" si="25"/>
        <v>0.0085</v>
      </c>
      <c r="E340" s="484">
        <f aca="true" t="shared" si="28" ref="E340:E403">C340+D340</f>
        <v>0.0674</v>
      </c>
      <c r="F340" s="485"/>
      <c r="G340" s="489">
        <v>250000</v>
      </c>
      <c r="H340" s="485">
        <f t="shared" si="27"/>
        <v>2950000</v>
      </c>
      <c r="I340" s="487">
        <v>1</v>
      </c>
      <c r="J340" s="488">
        <f t="shared" si="26"/>
        <v>544.7397260273973</v>
      </c>
    </row>
    <row r="341" spans="2:10" ht="15.75">
      <c r="B341" s="491">
        <v>50709</v>
      </c>
      <c r="C341" s="482">
        <f aca="true" t="shared" si="29" ref="C341:C404">C340</f>
        <v>0.0589</v>
      </c>
      <c r="D341" s="483">
        <f aca="true" t="shared" si="30" ref="D341:D404">D340</f>
        <v>0.0085</v>
      </c>
      <c r="E341" s="484">
        <f t="shared" si="28"/>
        <v>0.0674</v>
      </c>
      <c r="F341" s="485"/>
      <c r="G341" s="489"/>
      <c r="H341" s="485">
        <f t="shared" si="27"/>
        <v>2950000</v>
      </c>
      <c r="I341" s="493">
        <v>31</v>
      </c>
      <c r="J341" s="488">
        <f t="shared" si="26"/>
        <v>16886.931506849316</v>
      </c>
    </row>
    <row r="342" spans="2:10" ht="15.75">
      <c r="B342" s="491">
        <v>50739</v>
      </c>
      <c r="C342" s="482">
        <f t="shared" si="29"/>
        <v>0.0589</v>
      </c>
      <c r="D342" s="483">
        <f t="shared" si="30"/>
        <v>0.0085</v>
      </c>
      <c r="E342" s="484">
        <f t="shared" si="28"/>
        <v>0.0674</v>
      </c>
      <c r="F342" s="485"/>
      <c r="G342" s="489"/>
      <c r="H342" s="485">
        <f t="shared" si="27"/>
        <v>2950000</v>
      </c>
      <c r="I342" s="493">
        <v>30</v>
      </c>
      <c r="J342" s="488">
        <f t="shared" si="26"/>
        <v>16342.191780821919</v>
      </c>
    </row>
    <row r="343" spans="2:10" ht="15.75">
      <c r="B343" s="491">
        <v>50768</v>
      </c>
      <c r="C343" s="482">
        <f t="shared" si="29"/>
        <v>0.0589</v>
      </c>
      <c r="D343" s="483">
        <f t="shared" si="30"/>
        <v>0.0085</v>
      </c>
      <c r="E343" s="484">
        <f t="shared" si="28"/>
        <v>0.0674</v>
      </c>
      <c r="F343" s="485"/>
      <c r="G343" s="489"/>
      <c r="H343" s="485">
        <f t="shared" si="27"/>
        <v>2950000</v>
      </c>
      <c r="I343" s="493">
        <v>29</v>
      </c>
      <c r="J343" s="488">
        <f t="shared" si="26"/>
        <v>15797.452054794521</v>
      </c>
    </row>
    <row r="344" spans="2:10" ht="15.75">
      <c r="B344" s="490">
        <v>50769</v>
      </c>
      <c r="C344" s="482">
        <f t="shared" si="29"/>
        <v>0.0589</v>
      </c>
      <c r="D344" s="483">
        <f t="shared" si="30"/>
        <v>0.0085</v>
      </c>
      <c r="E344" s="484">
        <f t="shared" si="28"/>
        <v>0.0674</v>
      </c>
      <c r="F344" s="485"/>
      <c r="G344" s="489">
        <v>250000</v>
      </c>
      <c r="H344" s="485">
        <f t="shared" si="27"/>
        <v>2700000</v>
      </c>
      <c r="I344" s="493">
        <v>1</v>
      </c>
      <c r="J344" s="488">
        <f t="shared" si="26"/>
        <v>498.5753424657534</v>
      </c>
    </row>
    <row r="345" spans="2:10" ht="15.75">
      <c r="B345" s="430">
        <v>50770</v>
      </c>
      <c r="C345" s="431">
        <f t="shared" si="29"/>
        <v>0.0589</v>
      </c>
      <c r="D345" s="432">
        <f t="shared" si="30"/>
        <v>0.0085</v>
      </c>
      <c r="E345" s="433">
        <f t="shared" si="28"/>
        <v>0.0674</v>
      </c>
      <c r="F345" s="434"/>
      <c r="G345" s="534"/>
      <c r="H345" s="434">
        <f t="shared" si="27"/>
        <v>2700000</v>
      </c>
      <c r="I345" s="436">
        <v>1</v>
      </c>
      <c r="J345" s="437">
        <f t="shared" si="26"/>
        <v>498.5753424657534</v>
      </c>
    </row>
    <row r="346" spans="2:12" ht="15.75">
      <c r="B346" s="440">
        <v>50801</v>
      </c>
      <c r="C346" s="441">
        <f t="shared" si="29"/>
        <v>0.0589</v>
      </c>
      <c r="D346" s="442">
        <f t="shared" si="30"/>
        <v>0.0085</v>
      </c>
      <c r="E346" s="443">
        <f t="shared" si="28"/>
        <v>0.0674</v>
      </c>
      <c r="F346" s="444"/>
      <c r="G346" s="506"/>
      <c r="H346" s="444">
        <f t="shared" si="27"/>
        <v>2700000</v>
      </c>
      <c r="I346" s="446">
        <v>31</v>
      </c>
      <c r="J346" s="447">
        <f t="shared" si="26"/>
        <v>15455.835616438357</v>
      </c>
      <c r="K346" s="555">
        <f>SUM(J346:J363)</f>
        <v>156266.43835616438</v>
      </c>
      <c r="L346" s="555">
        <f>SUM(G346:G363)</f>
        <v>1000000</v>
      </c>
    </row>
    <row r="347" spans="2:10" ht="15.75">
      <c r="B347" s="448">
        <v>50829</v>
      </c>
      <c r="C347" s="449">
        <f t="shared" si="29"/>
        <v>0.0589</v>
      </c>
      <c r="D347" s="450">
        <f t="shared" si="30"/>
        <v>0.0085</v>
      </c>
      <c r="E347" s="451">
        <f t="shared" si="28"/>
        <v>0.0674</v>
      </c>
      <c r="F347" s="452"/>
      <c r="G347" s="459"/>
      <c r="H347" s="452">
        <f t="shared" si="27"/>
        <v>2700000</v>
      </c>
      <c r="I347" s="454">
        <v>28</v>
      </c>
      <c r="J347" s="455">
        <f t="shared" si="26"/>
        <v>13960.109589041096</v>
      </c>
    </row>
    <row r="348" spans="2:10" ht="15.75">
      <c r="B348" s="448">
        <v>50858</v>
      </c>
      <c r="C348" s="449">
        <f t="shared" si="29"/>
        <v>0.0589</v>
      </c>
      <c r="D348" s="450">
        <f t="shared" si="30"/>
        <v>0.0085</v>
      </c>
      <c r="E348" s="451">
        <f t="shared" si="28"/>
        <v>0.0674</v>
      </c>
      <c r="F348" s="452"/>
      <c r="G348" s="459"/>
      <c r="H348" s="452">
        <f t="shared" si="27"/>
        <v>2700000</v>
      </c>
      <c r="I348" s="454">
        <v>29</v>
      </c>
      <c r="J348" s="455">
        <f t="shared" si="26"/>
        <v>14458.684931506848</v>
      </c>
    </row>
    <row r="349" spans="2:10" ht="15.75">
      <c r="B349" s="458">
        <v>50859</v>
      </c>
      <c r="C349" s="449">
        <f t="shared" si="29"/>
        <v>0.0589</v>
      </c>
      <c r="D349" s="450">
        <f t="shared" si="30"/>
        <v>0.0085</v>
      </c>
      <c r="E349" s="451">
        <f t="shared" si="28"/>
        <v>0.0674</v>
      </c>
      <c r="F349" s="452"/>
      <c r="G349" s="459">
        <v>250000</v>
      </c>
      <c r="H349" s="452">
        <f t="shared" si="27"/>
        <v>2450000</v>
      </c>
      <c r="I349" s="454">
        <v>1</v>
      </c>
      <c r="J349" s="455">
        <f t="shared" si="26"/>
        <v>452.4109589041096</v>
      </c>
    </row>
    <row r="350" spans="2:10" ht="15.75">
      <c r="B350" s="448">
        <v>50860</v>
      </c>
      <c r="C350" s="449">
        <f t="shared" si="29"/>
        <v>0.0589</v>
      </c>
      <c r="D350" s="450">
        <f t="shared" si="30"/>
        <v>0.0085</v>
      </c>
      <c r="E350" s="451">
        <f t="shared" si="28"/>
        <v>0.0674</v>
      </c>
      <c r="F350" s="452"/>
      <c r="G350" s="459"/>
      <c r="H350" s="452">
        <f t="shared" si="27"/>
        <v>2450000</v>
      </c>
      <c r="I350" s="454">
        <v>1</v>
      </c>
      <c r="J350" s="455">
        <f aca="true" t="shared" si="31" ref="J350:J413">H350*E350*I350/365</f>
        <v>452.4109589041096</v>
      </c>
    </row>
    <row r="351" spans="2:10" ht="15.75">
      <c r="B351" s="448">
        <v>50890</v>
      </c>
      <c r="C351" s="449">
        <f t="shared" si="29"/>
        <v>0.0589</v>
      </c>
      <c r="D351" s="450">
        <f t="shared" si="30"/>
        <v>0.0085</v>
      </c>
      <c r="E351" s="451">
        <f t="shared" si="28"/>
        <v>0.0674</v>
      </c>
      <c r="F351" s="452"/>
      <c r="G351" s="459"/>
      <c r="H351" s="452">
        <f t="shared" si="27"/>
        <v>2450000</v>
      </c>
      <c r="I351" s="454">
        <v>30</v>
      </c>
      <c r="J351" s="455">
        <f t="shared" si="31"/>
        <v>13572.328767123288</v>
      </c>
    </row>
    <row r="352" spans="2:10" ht="15.75">
      <c r="B352" s="461">
        <v>50921</v>
      </c>
      <c r="C352" s="449">
        <f t="shared" si="29"/>
        <v>0.0589</v>
      </c>
      <c r="D352" s="450">
        <f t="shared" si="30"/>
        <v>0.0085</v>
      </c>
      <c r="E352" s="451">
        <f t="shared" si="28"/>
        <v>0.0674</v>
      </c>
      <c r="F352" s="452"/>
      <c r="G352" s="459"/>
      <c r="H352" s="452">
        <f t="shared" si="27"/>
        <v>2450000</v>
      </c>
      <c r="I352" s="454">
        <v>31</v>
      </c>
      <c r="J352" s="455">
        <f t="shared" si="31"/>
        <v>14024.739726027397</v>
      </c>
    </row>
    <row r="353" spans="2:10" ht="15.75">
      <c r="B353" s="461">
        <v>50950</v>
      </c>
      <c r="C353" s="449">
        <f t="shared" si="29"/>
        <v>0.0589</v>
      </c>
      <c r="D353" s="450">
        <f t="shared" si="30"/>
        <v>0.0085</v>
      </c>
      <c r="E353" s="451">
        <f t="shared" si="28"/>
        <v>0.0674</v>
      </c>
      <c r="F353" s="511"/>
      <c r="G353" s="512"/>
      <c r="H353" s="452">
        <f t="shared" si="27"/>
        <v>2450000</v>
      </c>
      <c r="I353" s="508">
        <v>29</v>
      </c>
      <c r="J353" s="455">
        <f t="shared" si="31"/>
        <v>13119.917808219177</v>
      </c>
    </row>
    <row r="354" spans="2:10" ht="15.75">
      <c r="B354" s="458">
        <v>50951</v>
      </c>
      <c r="C354" s="449">
        <f t="shared" si="29"/>
        <v>0.0589</v>
      </c>
      <c r="D354" s="450">
        <f t="shared" si="30"/>
        <v>0.0085</v>
      </c>
      <c r="E354" s="451">
        <f t="shared" si="28"/>
        <v>0.0674</v>
      </c>
      <c r="F354" s="452"/>
      <c r="G354" s="459">
        <v>250000</v>
      </c>
      <c r="H354" s="452">
        <f t="shared" si="27"/>
        <v>2200000</v>
      </c>
      <c r="I354" s="454">
        <v>1</v>
      </c>
      <c r="J354" s="455">
        <f t="shared" si="31"/>
        <v>406.24657534246575</v>
      </c>
    </row>
    <row r="355" spans="2:10" ht="15.75">
      <c r="B355" s="448">
        <v>50982</v>
      </c>
      <c r="C355" s="449">
        <f t="shared" si="29"/>
        <v>0.0589</v>
      </c>
      <c r="D355" s="450">
        <f t="shared" si="30"/>
        <v>0.0085</v>
      </c>
      <c r="E355" s="451">
        <f t="shared" si="28"/>
        <v>0.0674</v>
      </c>
      <c r="F355" s="452"/>
      <c r="G355" s="459"/>
      <c r="H355" s="452">
        <f t="shared" si="27"/>
        <v>2200000</v>
      </c>
      <c r="I355" s="454">
        <v>31</v>
      </c>
      <c r="J355" s="455">
        <f t="shared" si="31"/>
        <v>12593.643835616438</v>
      </c>
    </row>
    <row r="356" spans="2:10" ht="15.75">
      <c r="B356" s="448">
        <v>51013</v>
      </c>
      <c r="C356" s="449">
        <f t="shared" si="29"/>
        <v>0.0589</v>
      </c>
      <c r="D356" s="450">
        <f t="shared" si="30"/>
        <v>0.0085</v>
      </c>
      <c r="E356" s="451">
        <f t="shared" si="28"/>
        <v>0.0674</v>
      </c>
      <c r="F356" s="452"/>
      <c r="G356" s="459"/>
      <c r="H356" s="452">
        <f t="shared" si="27"/>
        <v>2200000</v>
      </c>
      <c r="I356" s="508">
        <v>31</v>
      </c>
      <c r="J356" s="455">
        <f t="shared" si="31"/>
        <v>12593.643835616438</v>
      </c>
    </row>
    <row r="357" spans="2:10" ht="15.75">
      <c r="B357" s="448">
        <v>51042</v>
      </c>
      <c r="C357" s="449">
        <f t="shared" si="29"/>
        <v>0.0589</v>
      </c>
      <c r="D357" s="450">
        <f t="shared" si="30"/>
        <v>0.0085</v>
      </c>
      <c r="E357" s="451">
        <f t="shared" si="28"/>
        <v>0.0674</v>
      </c>
      <c r="F357" s="452"/>
      <c r="G357" s="459"/>
      <c r="H357" s="452">
        <f aca="true" t="shared" si="32" ref="H357:H417">H356-G357</f>
        <v>2200000</v>
      </c>
      <c r="I357" s="454">
        <v>29</v>
      </c>
      <c r="J357" s="455">
        <f t="shared" si="31"/>
        <v>11781.150684931506</v>
      </c>
    </row>
    <row r="358" spans="2:10" ht="15.75">
      <c r="B358" s="458">
        <v>51043</v>
      </c>
      <c r="C358" s="449">
        <f t="shared" si="29"/>
        <v>0.0589</v>
      </c>
      <c r="D358" s="450">
        <f t="shared" si="30"/>
        <v>0.0085</v>
      </c>
      <c r="E358" s="451">
        <f t="shared" si="28"/>
        <v>0.0674</v>
      </c>
      <c r="F358" s="452"/>
      <c r="G358" s="459">
        <v>250000</v>
      </c>
      <c r="H358" s="452">
        <f t="shared" si="32"/>
        <v>1950000</v>
      </c>
      <c r="I358" s="454">
        <v>1</v>
      </c>
      <c r="J358" s="455">
        <f t="shared" si="31"/>
        <v>360.0821917808219</v>
      </c>
    </row>
    <row r="359" spans="2:10" ht="15.75">
      <c r="B359" s="461">
        <v>51074</v>
      </c>
      <c r="C359" s="449">
        <f t="shared" si="29"/>
        <v>0.0589</v>
      </c>
      <c r="D359" s="450">
        <f t="shared" si="30"/>
        <v>0.0085</v>
      </c>
      <c r="E359" s="451">
        <f t="shared" si="28"/>
        <v>0.0674</v>
      </c>
      <c r="F359" s="452"/>
      <c r="G359" s="459"/>
      <c r="H359" s="452">
        <f t="shared" si="32"/>
        <v>1950000</v>
      </c>
      <c r="I359" s="508">
        <v>31</v>
      </c>
      <c r="J359" s="455">
        <f t="shared" si="31"/>
        <v>11162.547945205479</v>
      </c>
    </row>
    <row r="360" spans="2:10" ht="15.75">
      <c r="B360" s="461">
        <v>51104</v>
      </c>
      <c r="C360" s="449">
        <f t="shared" si="29"/>
        <v>0.0589</v>
      </c>
      <c r="D360" s="450">
        <f t="shared" si="30"/>
        <v>0.0085</v>
      </c>
      <c r="E360" s="451">
        <f t="shared" si="28"/>
        <v>0.0674</v>
      </c>
      <c r="F360" s="452"/>
      <c r="G360" s="459"/>
      <c r="H360" s="452">
        <f t="shared" si="32"/>
        <v>1950000</v>
      </c>
      <c r="I360" s="508">
        <v>30</v>
      </c>
      <c r="J360" s="455">
        <f t="shared" si="31"/>
        <v>10802.465753424658</v>
      </c>
    </row>
    <row r="361" spans="2:10" ht="15.75">
      <c r="B361" s="461">
        <v>51133</v>
      </c>
      <c r="C361" s="449">
        <f t="shared" si="29"/>
        <v>0.0589</v>
      </c>
      <c r="D361" s="450">
        <f t="shared" si="30"/>
        <v>0.0085</v>
      </c>
      <c r="E361" s="451">
        <f t="shared" si="28"/>
        <v>0.0674</v>
      </c>
      <c r="F361" s="452"/>
      <c r="G361" s="459"/>
      <c r="H361" s="452">
        <f t="shared" si="32"/>
        <v>1950000</v>
      </c>
      <c r="I361" s="508">
        <v>29</v>
      </c>
      <c r="J361" s="455">
        <f t="shared" si="31"/>
        <v>10442.383561643835</v>
      </c>
    </row>
    <row r="362" spans="2:10" ht="15.75">
      <c r="B362" s="458">
        <v>51134</v>
      </c>
      <c r="C362" s="449">
        <f t="shared" si="29"/>
        <v>0.0589</v>
      </c>
      <c r="D362" s="450">
        <f t="shared" si="30"/>
        <v>0.0085</v>
      </c>
      <c r="E362" s="451">
        <f t="shared" si="28"/>
        <v>0.0674</v>
      </c>
      <c r="F362" s="452"/>
      <c r="G362" s="459">
        <v>250000</v>
      </c>
      <c r="H362" s="452">
        <f t="shared" si="32"/>
        <v>1700000</v>
      </c>
      <c r="I362" s="508">
        <v>1</v>
      </c>
      <c r="J362" s="455">
        <f t="shared" si="31"/>
        <v>313.9178082191781</v>
      </c>
    </row>
    <row r="363" spans="2:10" ht="15.75">
      <c r="B363" s="469">
        <v>51135</v>
      </c>
      <c r="C363" s="470">
        <f t="shared" si="29"/>
        <v>0.0589</v>
      </c>
      <c r="D363" s="471">
        <f t="shared" si="30"/>
        <v>0.0085</v>
      </c>
      <c r="E363" s="472">
        <f t="shared" si="28"/>
        <v>0.0674</v>
      </c>
      <c r="F363" s="473"/>
      <c r="G363" s="554"/>
      <c r="H363" s="473">
        <f t="shared" si="32"/>
        <v>1700000</v>
      </c>
      <c r="I363" s="475">
        <v>1</v>
      </c>
      <c r="J363" s="476">
        <f t="shared" si="31"/>
        <v>313.9178082191781</v>
      </c>
    </row>
    <row r="364" spans="2:12" ht="15.75">
      <c r="B364" s="479">
        <v>51166</v>
      </c>
      <c r="C364" s="421">
        <f t="shared" si="29"/>
        <v>0.0589</v>
      </c>
      <c r="D364" s="422">
        <f t="shared" si="30"/>
        <v>0.0085</v>
      </c>
      <c r="E364" s="423">
        <f t="shared" si="28"/>
        <v>0.0674</v>
      </c>
      <c r="F364" s="426"/>
      <c r="G364" s="425"/>
      <c r="H364" s="426">
        <f t="shared" si="32"/>
        <v>1700000</v>
      </c>
      <c r="I364" s="427">
        <v>31</v>
      </c>
      <c r="J364" s="428">
        <f t="shared" si="31"/>
        <v>9731.452054794521</v>
      </c>
      <c r="K364" s="555">
        <f>SUM(J364:J381)</f>
        <v>89180.35616438354</v>
      </c>
      <c r="L364" s="555">
        <f>SUM(G364:G381)</f>
        <v>1000000</v>
      </c>
    </row>
    <row r="365" spans="2:10" ht="15.75">
      <c r="B365" s="481">
        <v>51195</v>
      </c>
      <c r="C365" s="482">
        <f t="shared" si="29"/>
        <v>0.0589</v>
      </c>
      <c r="D365" s="483">
        <f t="shared" si="30"/>
        <v>0.0085</v>
      </c>
      <c r="E365" s="484">
        <f t="shared" si="28"/>
        <v>0.0674</v>
      </c>
      <c r="F365" s="485"/>
      <c r="G365" s="489"/>
      <c r="H365" s="485">
        <f t="shared" si="32"/>
        <v>1700000</v>
      </c>
      <c r="I365" s="487">
        <v>29</v>
      </c>
      <c r="J365" s="488">
        <f t="shared" si="31"/>
        <v>9103.616438356165</v>
      </c>
    </row>
    <row r="366" spans="2:10" ht="15.75">
      <c r="B366" s="481">
        <v>51224</v>
      </c>
      <c r="C366" s="482">
        <f t="shared" si="29"/>
        <v>0.0589</v>
      </c>
      <c r="D366" s="483">
        <f t="shared" si="30"/>
        <v>0.0085</v>
      </c>
      <c r="E366" s="484">
        <f t="shared" si="28"/>
        <v>0.0674</v>
      </c>
      <c r="F366" s="485"/>
      <c r="G366" s="489"/>
      <c r="H366" s="485">
        <f t="shared" si="32"/>
        <v>1700000</v>
      </c>
      <c r="I366" s="487">
        <v>29</v>
      </c>
      <c r="J366" s="488">
        <f t="shared" si="31"/>
        <v>9103.616438356165</v>
      </c>
    </row>
    <row r="367" spans="2:10" ht="15.75">
      <c r="B367" s="490">
        <v>51225</v>
      </c>
      <c r="C367" s="482">
        <f t="shared" si="29"/>
        <v>0.0589</v>
      </c>
      <c r="D367" s="483">
        <f t="shared" si="30"/>
        <v>0.0085</v>
      </c>
      <c r="E367" s="484">
        <f t="shared" si="28"/>
        <v>0.0674</v>
      </c>
      <c r="F367" s="485"/>
      <c r="G367" s="489">
        <v>250000</v>
      </c>
      <c r="H367" s="485">
        <f t="shared" si="32"/>
        <v>1450000</v>
      </c>
      <c r="I367" s="487">
        <v>1</v>
      </c>
      <c r="J367" s="488">
        <f t="shared" si="31"/>
        <v>267.75342465753425</v>
      </c>
    </row>
    <row r="368" spans="2:10" ht="15.75">
      <c r="B368" s="481">
        <v>51226</v>
      </c>
      <c r="C368" s="482">
        <f t="shared" si="29"/>
        <v>0.0589</v>
      </c>
      <c r="D368" s="483">
        <f t="shared" si="30"/>
        <v>0.0085</v>
      </c>
      <c r="E368" s="484">
        <f t="shared" si="28"/>
        <v>0.0674</v>
      </c>
      <c r="F368" s="485"/>
      <c r="G368" s="489"/>
      <c r="H368" s="485">
        <f t="shared" si="32"/>
        <v>1450000</v>
      </c>
      <c r="I368" s="487">
        <v>1</v>
      </c>
      <c r="J368" s="488">
        <f t="shared" si="31"/>
        <v>267.75342465753425</v>
      </c>
    </row>
    <row r="369" spans="2:10" ht="15.75">
      <c r="B369" s="481">
        <v>51256</v>
      </c>
      <c r="C369" s="482">
        <f t="shared" si="29"/>
        <v>0.0589</v>
      </c>
      <c r="D369" s="483">
        <f t="shared" si="30"/>
        <v>0.0085</v>
      </c>
      <c r="E369" s="484">
        <f t="shared" si="28"/>
        <v>0.0674</v>
      </c>
      <c r="F369" s="485"/>
      <c r="G369" s="489"/>
      <c r="H369" s="485">
        <f t="shared" si="32"/>
        <v>1450000</v>
      </c>
      <c r="I369" s="487">
        <v>30</v>
      </c>
      <c r="J369" s="488">
        <f t="shared" si="31"/>
        <v>8032.602739726028</v>
      </c>
    </row>
    <row r="370" spans="2:10" ht="15.75">
      <c r="B370" s="491">
        <v>51287</v>
      </c>
      <c r="C370" s="482">
        <f t="shared" si="29"/>
        <v>0.0589</v>
      </c>
      <c r="D370" s="483">
        <f t="shared" si="30"/>
        <v>0.0085</v>
      </c>
      <c r="E370" s="484">
        <f t="shared" si="28"/>
        <v>0.0674</v>
      </c>
      <c r="F370" s="485"/>
      <c r="G370" s="489"/>
      <c r="H370" s="485">
        <f t="shared" si="32"/>
        <v>1450000</v>
      </c>
      <c r="I370" s="487">
        <v>31</v>
      </c>
      <c r="J370" s="488">
        <f t="shared" si="31"/>
        <v>8300.356164383562</v>
      </c>
    </row>
    <row r="371" spans="2:10" ht="15.75">
      <c r="B371" s="491">
        <v>51316</v>
      </c>
      <c r="C371" s="482">
        <f t="shared" si="29"/>
        <v>0.0589</v>
      </c>
      <c r="D371" s="483">
        <f t="shared" si="30"/>
        <v>0.0085</v>
      </c>
      <c r="E371" s="484">
        <f t="shared" si="28"/>
        <v>0.0674</v>
      </c>
      <c r="F371" s="498"/>
      <c r="G371" s="531"/>
      <c r="H371" s="485">
        <f t="shared" si="32"/>
        <v>1450000</v>
      </c>
      <c r="I371" s="493">
        <v>29</v>
      </c>
      <c r="J371" s="488">
        <f t="shared" si="31"/>
        <v>7764.8493150684935</v>
      </c>
    </row>
    <row r="372" spans="2:10" ht="15.75">
      <c r="B372" s="490">
        <v>51317</v>
      </c>
      <c r="C372" s="482">
        <f t="shared" si="29"/>
        <v>0.0589</v>
      </c>
      <c r="D372" s="483">
        <f t="shared" si="30"/>
        <v>0.0085</v>
      </c>
      <c r="E372" s="484">
        <f t="shared" si="28"/>
        <v>0.0674</v>
      </c>
      <c r="F372" s="485"/>
      <c r="G372" s="489">
        <v>250000</v>
      </c>
      <c r="H372" s="485">
        <f t="shared" si="32"/>
        <v>1200000</v>
      </c>
      <c r="I372" s="487">
        <v>1</v>
      </c>
      <c r="J372" s="488">
        <f t="shared" si="31"/>
        <v>221.58904109589042</v>
      </c>
    </row>
    <row r="373" spans="2:10" ht="15.75">
      <c r="B373" s="481">
        <v>51348</v>
      </c>
      <c r="C373" s="482">
        <f t="shared" si="29"/>
        <v>0.0589</v>
      </c>
      <c r="D373" s="483">
        <f t="shared" si="30"/>
        <v>0.0085</v>
      </c>
      <c r="E373" s="484">
        <f t="shared" si="28"/>
        <v>0.0674</v>
      </c>
      <c r="F373" s="485"/>
      <c r="G373" s="489"/>
      <c r="H373" s="485">
        <f t="shared" si="32"/>
        <v>1200000</v>
      </c>
      <c r="I373" s="487">
        <v>31</v>
      </c>
      <c r="J373" s="488">
        <f t="shared" si="31"/>
        <v>6869.260273972603</v>
      </c>
    </row>
    <row r="374" spans="2:10" ht="15.75">
      <c r="B374" s="481">
        <v>51379</v>
      </c>
      <c r="C374" s="482">
        <f t="shared" si="29"/>
        <v>0.0589</v>
      </c>
      <c r="D374" s="483">
        <f t="shared" si="30"/>
        <v>0.0085</v>
      </c>
      <c r="E374" s="484">
        <f t="shared" si="28"/>
        <v>0.0674</v>
      </c>
      <c r="F374" s="485"/>
      <c r="G374" s="489"/>
      <c r="H374" s="485">
        <f t="shared" si="32"/>
        <v>1200000</v>
      </c>
      <c r="I374" s="493">
        <v>31</v>
      </c>
      <c r="J374" s="488">
        <f t="shared" si="31"/>
        <v>6869.260273972603</v>
      </c>
    </row>
    <row r="375" spans="2:10" ht="15.75">
      <c r="B375" s="481">
        <v>51408</v>
      </c>
      <c r="C375" s="482">
        <f t="shared" si="29"/>
        <v>0.0589</v>
      </c>
      <c r="D375" s="483">
        <f t="shared" si="30"/>
        <v>0.0085</v>
      </c>
      <c r="E375" s="484">
        <f t="shared" si="28"/>
        <v>0.0674</v>
      </c>
      <c r="F375" s="485"/>
      <c r="G375" s="489"/>
      <c r="H375" s="485">
        <f t="shared" si="32"/>
        <v>1200000</v>
      </c>
      <c r="I375" s="487">
        <v>29</v>
      </c>
      <c r="J375" s="488">
        <f t="shared" si="31"/>
        <v>6426.082191780822</v>
      </c>
    </row>
    <row r="376" spans="2:10" ht="15.75">
      <c r="B376" s="490">
        <v>51409</v>
      </c>
      <c r="C376" s="482">
        <f t="shared" si="29"/>
        <v>0.0589</v>
      </c>
      <c r="D376" s="483">
        <f t="shared" si="30"/>
        <v>0.0085</v>
      </c>
      <c r="E376" s="484">
        <f t="shared" si="28"/>
        <v>0.0674</v>
      </c>
      <c r="F376" s="485"/>
      <c r="G376" s="489">
        <v>250000</v>
      </c>
      <c r="H376" s="485">
        <f t="shared" si="32"/>
        <v>950000</v>
      </c>
      <c r="I376" s="487">
        <v>1</v>
      </c>
      <c r="J376" s="488">
        <f t="shared" si="31"/>
        <v>175.42465753424656</v>
      </c>
    </row>
    <row r="377" spans="2:10" ht="15.75">
      <c r="B377" s="491">
        <v>51440</v>
      </c>
      <c r="C377" s="482">
        <f t="shared" si="29"/>
        <v>0.0589</v>
      </c>
      <c r="D377" s="483">
        <f t="shared" si="30"/>
        <v>0.0085</v>
      </c>
      <c r="E377" s="484">
        <f t="shared" si="28"/>
        <v>0.0674</v>
      </c>
      <c r="F377" s="485"/>
      <c r="G377" s="489"/>
      <c r="H377" s="485">
        <f t="shared" si="32"/>
        <v>950000</v>
      </c>
      <c r="I377" s="493">
        <v>31</v>
      </c>
      <c r="J377" s="488">
        <f t="shared" si="31"/>
        <v>5438.164383561644</v>
      </c>
    </row>
    <row r="378" spans="2:10" ht="15.75">
      <c r="B378" s="491">
        <v>51470</v>
      </c>
      <c r="C378" s="482">
        <f t="shared" si="29"/>
        <v>0.0589</v>
      </c>
      <c r="D378" s="483">
        <f t="shared" si="30"/>
        <v>0.0085</v>
      </c>
      <c r="E378" s="484">
        <f t="shared" si="28"/>
        <v>0.0674</v>
      </c>
      <c r="F378" s="485"/>
      <c r="G378" s="489"/>
      <c r="H378" s="485">
        <f t="shared" si="32"/>
        <v>950000</v>
      </c>
      <c r="I378" s="493">
        <v>30</v>
      </c>
      <c r="J378" s="488">
        <f t="shared" si="31"/>
        <v>5262.739726027397</v>
      </c>
    </row>
    <row r="379" spans="2:10" ht="15.75">
      <c r="B379" s="491">
        <v>51499</v>
      </c>
      <c r="C379" s="482">
        <f t="shared" si="29"/>
        <v>0.0589</v>
      </c>
      <c r="D379" s="483">
        <f t="shared" si="30"/>
        <v>0.0085</v>
      </c>
      <c r="E379" s="484">
        <f t="shared" si="28"/>
        <v>0.0674</v>
      </c>
      <c r="F379" s="485"/>
      <c r="G379" s="489"/>
      <c r="H379" s="485">
        <f t="shared" si="32"/>
        <v>950000</v>
      </c>
      <c r="I379" s="493">
        <v>29</v>
      </c>
      <c r="J379" s="488">
        <f t="shared" si="31"/>
        <v>5087.315068493151</v>
      </c>
    </row>
    <row r="380" spans="2:10" ht="15.75">
      <c r="B380" s="490">
        <v>51500</v>
      </c>
      <c r="C380" s="482">
        <f t="shared" si="29"/>
        <v>0.0589</v>
      </c>
      <c r="D380" s="483">
        <f t="shared" si="30"/>
        <v>0.0085</v>
      </c>
      <c r="E380" s="484">
        <f t="shared" si="28"/>
        <v>0.0674</v>
      </c>
      <c r="F380" s="485"/>
      <c r="G380" s="489">
        <v>250000</v>
      </c>
      <c r="H380" s="485">
        <f t="shared" si="32"/>
        <v>700000</v>
      </c>
      <c r="I380" s="493">
        <v>1</v>
      </c>
      <c r="J380" s="488">
        <f t="shared" si="31"/>
        <v>129.26027397260273</v>
      </c>
    </row>
    <row r="381" spans="2:10" ht="15.75">
      <c r="B381" s="430">
        <v>51501</v>
      </c>
      <c r="C381" s="431">
        <f t="shared" si="29"/>
        <v>0.0589</v>
      </c>
      <c r="D381" s="432">
        <f t="shared" si="30"/>
        <v>0.0085</v>
      </c>
      <c r="E381" s="433">
        <f t="shared" si="28"/>
        <v>0.0674</v>
      </c>
      <c r="F381" s="434"/>
      <c r="G381" s="534"/>
      <c r="H381" s="434">
        <f t="shared" si="32"/>
        <v>700000</v>
      </c>
      <c r="I381" s="436">
        <v>1</v>
      </c>
      <c r="J381" s="437">
        <f t="shared" si="31"/>
        <v>129.26027397260273</v>
      </c>
    </row>
    <row r="382" spans="2:12" ht="15.75">
      <c r="B382" s="440">
        <v>51532</v>
      </c>
      <c r="C382" s="441">
        <f t="shared" si="29"/>
        <v>0.0589</v>
      </c>
      <c r="D382" s="442">
        <f t="shared" si="30"/>
        <v>0.0085</v>
      </c>
      <c r="E382" s="443">
        <f t="shared" si="28"/>
        <v>0.0674</v>
      </c>
      <c r="F382" s="444"/>
      <c r="G382" s="506"/>
      <c r="H382" s="444">
        <f t="shared" si="32"/>
        <v>700000</v>
      </c>
      <c r="I382" s="446">
        <v>31</v>
      </c>
      <c r="J382" s="447">
        <f t="shared" si="31"/>
        <v>4007.068493150685</v>
      </c>
      <c r="K382" s="555">
        <f>SUM(J382:J399)</f>
        <v>22417.424657534248</v>
      </c>
      <c r="L382" s="555">
        <f>SUM(G382:G399)</f>
        <v>700000</v>
      </c>
    </row>
    <row r="383" spans="2:10" ht="15.75">
      <c r="B383" s="448">
        <v>51560</v>
      </c>
      <c r="C383" s="449">
        <f t="shared" si="29"/>
        <v>0.0589</v>
      </c>
      <c r="D383" s="450">
        <f t="shared" si="30"/>
        <v>0.0085</v>
      </c>
      <c r="E383" s="451">
        <f t="shared" si="28"/>
        <v>0.0674</v>
      </c>
      <c r="F383" s="452"/>
      <c r="G383" s="459"/>
      <c r="H383" s="452">
        <f t="shared" si="32"/>
        <v>700000</v>
      </c>
      <c r="I383" s="454">
        <v>28</v>
      </c>
      <c r="J383" s="455">
        <f t="shared" si="31"/>
        <v>3619.2876712328766</v>
      </c>
    </row>
    <row r="384" spans="2:10" ht="15.75">
      <c r="B384" s="448">
        <v>51589</v>
      </c>
      <c r="C384" s="449">
        <f t="shared" si="29"/>
        <v>0.0589</v>
      </c>
      <c r="D384" s="450">
        <f t="shared" si="30"/>
        <v>0.0085</v>
      </c>
      <c r="E384" s="451">
        <f t="shared" si="28"/>
        <v>0.0674</v>
      </c>
      <c r="F384" s="452"/>
      <c r="G384" s="459"/>
      <c r="H384" s="452">
        <f t="shared" si="32"/>
        <v>700000</v>
      </c>
      <c r="I384" s="454">
        <v>29</v>
      </c>
      <c r="J384" s="455">
        <f t="shared" si="31"/>
        <v>3748.5479452054797</v>
      </c>
    </row>
    <row r="385" spans="2:10" ht="15.75">
      <c r="B385" s="458">
        <v>51590</v>
      </c>
      <c r="C385" s="449">
        <f t="shared" si="29"/>
        <v>0.0589</v>
      </c>
      <c r="D385" s="450">
        <f t="shared" si="30"/>
        <v>0.0085</v>
      </c>
      <c r="E385" s="451">
        <f t="shared" si="28"/>
        <v>0.0674</v>
      </c>
      <c r="F385" s="452"/>
      <c r="G385" s="459">
        <v>250000</v>
      </c>
      <c r="H385" s="452">
        <f t="shared" si="32"/>
        <v>450000</v>
      </c>
      <c r="I385" s="454">
        <v>1</v>
      </c>
      <c r="J385" s="455">
        <f t="shared" si="31"/>
        <v>83.0958904109589</v>
      </c>
    </row>
    <row r="386" spans="2:10" ht="15.75">
      <c r="B386" s="448">
        <v>51591</v>
      </c>
      <c r="C386" s="449">
        <f t="shared" si="29"/>
        <v>0.0589</v>
      </c>
      <c r="D386" s="450">
        <f t="shared" si="30"/>
        <v>0.0085</v>
      </c>
      <c r="E386" s="451">
        <f t="shared" si="28"/>
        <v>0.0674</v>
      </c>
      <c r="F386" s="452"/>
      <c r="G386" s="459"/>
      <c r="H386" s="452">
        <f t="shared" si="32"/>
        <v>450000</v>
      </c>
      <c r="I386" s="454">
        <v>1</v>
      </c>
      <c r="J386" s="455">
        <f t="shared" si="31"/>
        <v>83.0958904109589</v>
      </c>
    </row>
    <row r="387" spans="2:10" ht="15.75">
      <c r="B387" s="448">
        <v>51621</v>
      </c>
      <c r="C387" s="449">
        <f t="shared" si="29"/>
        <v>0.0589</v>
      </c>
      <c r="D387" s="450">
        <f t="shared" si="30"/>
        <v>0.0085</v>
      </c>
      <c r="E387" s="451">
        <f t="shared" si="28"/>
        <v>0.0674</v>
      </c>
      <c r="F387" s="452"/>
      <c r="G387" s="459"/>
      <c r="H387" s="452">
        <f t="shared" si="32"/>
        <v>450000</v>
      </c>
      <c r="I387" s="454">
        <v>30</v>
      </c>
      <c r="J387" s="455">
        <f t="shared" si="31"/>
        <v>2492.876712328767</v>
      </c>
    </row>
    <row r="388" spans="2:10" ht="15.75">
      <c r="B388" s="461">
        <v>51652</v>
      </c>
      <c r="C388" s="449">
        <f t="shared" si="29"/>
        <v>0.0589</v>
      </c>
      <c r="D388" s="450">
        <f t="shared" si="30"/>
        <v>0.0085</v>
      </c>
      <c r="E388" s="451">
        <f t="shared" si="28"/>
        <v>0.0674</v>
      </c>
      <c r="F388" s="452"/>
      <c r="G388" s="459"/>
      <c r="H388" s="452">
        <f t="shared" si="32"/>
        <v>450000</v>
      </c>
      <c r="I388" s="454">
        <v>31</v>
      </c>
      <c r="J388" s="455">
        <f t="shared" si="31"/>
        <v>2575.972602739726</v>
      </c>
    </row>
    <row r="389" spans="2:10" ht="15.75">
      <c r="B389" s="461">
        <v>51681</v>
      </c>
      <c r="C389" s="449">
        <f t="shared" si="29"/>
        <v>0.0589</v>
      </c>
      <c r="D389" s="450">
        <f t="shared" si="30"/>
        <v>0.0085</v>
      </c>
      <c r="E389" s="451">
        <f t="shared" si="28"/>
        <v>0.0674</v>
      </c>
      <c r="F389" s="511"/>
      <c r="G389" s="512"/>
      <c r="H389" s="452">
        <f t="shared" si="32"/>
        <v>450000</v>
      </c>
      <c r="I389" s="508">
        <v>29</v>
      </c>
      <c r="J389" s="455">
        <f t="shared" si="31"/>
        <v>2409.780821917808</v>
      </c>
    </row>
    <row r="390" spans="2:10" ht="15.75">
      <c r="B390" s="458">
        <v>51682</v>
      </c>
      <c r="C390" s="449">
        <f t="shared" si="29"/>
        <v>0.0589</v>
      </c>
      <c r="D390" s="450">
        <f t="shared" si="30"/>
        <v>0.0085</v>
      </c>
      <c r="E390" s="451">
        <f t="shared" si="28"/>
        <v>0.0674</v>
      </c>
      <c r="F390" s="452"/>
      <c r="G390" s="459">
        <v>250000</v>
      </c>
      <c r="H390" s="452">
        <f t="shared" si="32"/>
        <v>200000</v>
      </c>
      <c r="I390" s="454">
        <v>1</v>
      </c>
      <c r="J390" s="455">
        <f t="shared" si="31"/>
        <v>36.93150684931507</v>
      </c>
    </row>
    <row r="391" spans="2:10" ht="15.75">
      <c r="B391" s="448">
        <v>51713</v>
      </c>
      <c r="C391" s="449">
        <f t="shared" si="29"/>
        <v>0.0589</v>
      </c>
      <c r="D391" s="450">
        <f t="shared" si="30"/>
        <v>0.0085</v>
      </c>
      <c r="E391" s="451">
        <f t="shared" si="28"/>
        <v>0.0674</v>
      </c>
      <c r="F391" s="452"/>
      <c r="G391" s="459"/>
      <c r="H391" s="452">
        <f t="shared" si="32"/>
        <v>200000</v>
      </c>
      <c r="I391" s="454">
        <v>31</v>
      </c>
      <c r="J391" s="455">
        <f t="shared" si="31"/>
        <v>1144.876712328767</v>
      </c>
    </row>
    <row r="392" spans="2:10" ht="15.75">
      <c r="B392" s="448">
        <v>51744</v>
      </c>
      <c r="C392" s="449">
        <f t="shared" si="29"/>
        <v>0.0589</v>
      </c>
      <c r="D392" s="450">
        <f t="shared" si="30"/>
        <v>0.0085</v>
      </c>
      <c r="E392" s="451">
        <f t="shared" si="28"/>
        <v>0.0674</v>
      </c>
      <c r="F392" s="452"/>
      <c r="G392" s="459"/>
      <c r="H392" s="452">
        <f t="shared" si="32"/>
        <v>200000</v>
      </c>
      <c r="I392" s="508">
        <v>31</v>
      </c>
      <c r="J392" s="455">
        <f t="shared" si="31"/>
        <v>1144.876712328767</v>
      </c>
    </row>
    <row r="393" spans="2:10" ht="15.75">
      <c r="B393" s="448">
        <v>51773</v>
      </c>
      <c r="C393" s="449">
        <f t="shared" si="29"/>
        <v>0.0589</v>
      </c>
      <c r="D393" s="450">
        <f t="shared" si="30"/>
        <v>0.0085</v>
      </c>
      <c r="E393" s="451">
        <f t="shared" si="28"/>
        <v>0.0674</v>
      </c>
      <c r="F393" s="452"/>
      <c r="G393" s="459"/>
      <c r="H393" s="452">
        <f t="shared" si="32"/>
        <v>200000</v>
      </c>
      <c r="I393" s="454">
        <v>29</v>
      </c>
      <c r="J393" s="455">
        <f t="shared" si="31"/>
        <v>1071.013698630137</v>
      </c>
    </row>
    <row r="394" spans="2:10" ht="15.75">
      <c r="B394" s="458">
        <v>51774</v>
      </c>
      <c r="C394" s="449">
        <f t="shared" si="29"/>
        <v>0.0589</v>
      </c>
      <c r="D394" s="450">
        <f t="shared" si="30"/>
        <v>0.0085</v>
      </c>
      <c r="E394" s="451">
        <f t="shared" si="28"/>
        <v>0.0674</v>
      </c>
      <c r="F394" s="452"/>
      <c r="G394" s="459">
        <v>200000</v>
      </c>
      <c r="H394" s="452">
        <f t="shared" si="32"/>
        <v>0</v>
      </c>
      <c r="I394" s="454">
        <v>1</v>
      </c>
      <c r="J394" s="455">
        <f t="shared" si="31"/>
        <v>0</v>
      </c>
    </row>
    <row r="395" spans="2:10" ht="15.75">
      <c r="B395" s="461">
        <v>51805</v>
      </c>
      <c r="C395" s="449">
        <f t="shared" si="29"/>
        <v>0.0589</v>
      </c>
      <c r="D395" s="450">
        <f t="shared" si="30"/>
        <v>0.0085</v>
      </c>
      <c r="E395" s="451">
        <f t="shared" si="28"/>
        <v>0.0674</v>
      </c>
      <c r="F395" s="452"/>
      <c r="G395" s="459"/>
      <c r="H395" s="452">
        <f t="shared" si="32"/>
        <v>0</v>
      </c>
      <c r="I395" s="508">
        <v>31</v>
      </c>
      <c r="J395" s="455">
        <f t="shared" si="31"/>
        <v>0</v>
      </c>
    </row>
    <row r="396" spans="2:10" ht="15.75">
      <c r="B396" s="461">
        <v>51835</v>
      </c>
      <c r="C396" s="449">
        <f t="shared" si="29"/>
        <v>0.0589</v>
      </c>
      <c r="D396" s="450">
        <f t="shared" si="30"/>
        <v>0.0085</v>
      </c>
      <c r="E396" s="451">
        <f t="shared" si="28"/>
        <v>0.0674</v>
      </c>
      <c r="F396" s="452"/>
      <c r="G396" s="459"/>
      <c r="H396" s="452">
        <f t="shared" si="32"/>
        <v>0</v>
      </c>
      <c r="I396" s="508">
        <v>30</v>
      </c>
      <c r="J396" s="455">
        <f t="shared" si="31"/>
        <v>0</v>
      </c>
    </row>
    <row r="397" spans="2:10" ht="15.75">
      <c r="B397" s="461">
        <v>51864</v>
      </c>
      <c r="C397" s="449">
        <f t="shared" si="29"/>
        <v>0.0589</v>
      </c>
      <c r="D397" s="450">
        <f t="shared" si="30"/>
        <v>0.0085</v>
      </c>
      <c r="E397" s="451">
        <f t="shared" si="28"/>
        <v>0.0674</v>
      </c>
      <c r="F397" s="452"/>
      <c r="G397" s="459"/>
      <c r="H397" s="452">
        <f t="shared" si="32"/>
        <v>0</v>
      </c>
      <c r="I397" s="508">
        <v>29</v>
      </c>
      <c r="J397" s="455">
        <f t="shared" si="31"/>
        <v>0</v>
      </c>
    </row>
    <row r="398" spans="2:10" ht="15.75">
      <c r="B398" s="458">
        <v>51865</v>
      </c>
      <c r="C398" s="449">
        <f t="shared" si="29"/>
        <v>0.0589</v>
      </c>
      <c r="D398" s="450">
        <f t="shared" si="30"/>
        <v>0.0085</v>
      </c>
      <c r="E398" s="451">
        <f t="shared" si="28"/>
        <v>0.0674</v>
      </c>
      <c r="F398" s="452"/>
      <c r="G398" s="459"/>
      <c r="H398" s="452">
        <f t="shared" si="32"/>
        <v>0</v>
      </c>
      <c r="I398" s="508">
        <v>1</v>
      </c>
      <c r="J398" s="455">
        <f t="shared" si="31"/>
        <v>0</v>
      </c>
    </row>
    <row r="399" spans="2:10" ht="15.75">
      <c r="B399" s="469">
        <v>51866</v>
      </c>
      <c r="C399" s="470">
        <f t="shared" si="29"/>
        <v>0.0589</v>
      </c>
      <c r="D399" s="471">
        <f t="shared" si="30"/>
        <v>0.0085</v>
      </c>
      <c r="E399" s="472">
        <f t="shared" si="28"/>
        <v>0.0674</v>
      </c>
      <c r="F399" s="473"/>
      <c r="G399" s="554"/>
      <c r="H399" s="473">
        <f t="shared" si="32"/>
        <v>0</v>
      </c>
      <c r="I399" s="475">
        <v>1</v>
      </c>
      <c r="J399" s="476">
        <f t="shared" si="31"/>
        <v>0</v>
      </c>
    </row>
    <row r="400" spans="2:11" ht="15.75" hidden="1">
      <c r="B400" s="479">
        <v>51897</v>
      </c>
      <c r="C400" s="421">
        <f t="shared" si="29"/>
        <v>0.0589</v>
      </c>
      <c r="D400" s="422">
        <f t="shared" si="30"/>
        <v>0.0085</v>
      </c>
      <c r="E400" s="423">
        <f t="shared" si="28"/>
        <v>0.0674</v>
      </c>
      <c r="F400" s="426"/>
      <c r="G400" s="425"/>
      <c r="H400" s="426">
        <f t="shared" si="32"/>
        <v>0</v>
      </c>
      <c r="I400" s="427">
        <v>31</v>
      </c>
      <c r="J400" s="428">
        <f t="shared" si="31"/>
        <v>0</v>
      </c>
      <c r="K400" s="555">
        <f>SUM(J400:J417)</f>
        <v>0</v>
      </c>
    </row>
    <row r="401" spans="2:10" ht="15.75" hidden="1">
      <c r="B401" s="481">
        <v>51925</v>
      </c>
      <c r="C401" s="482">
        <f t="shared" si="29"/>
        <v>0.0589</v>
      </c>
      <c r="D401" s="483">
        <f t="shared" si="30"/>
        <v>0.0085</v>
      </c>
      <c r="E401" s="484">
        <f t="shared" si="28"/>
        <v>0.0674</v>
      </c>
      <c r="F401" s="485"/>
      <c r="G401" s="489"/>
      <c r="H401" s="485">
        <f t="shared" si="32"/>
        <v>0</v>
      </c>
      <c r="I401" s="487">
        <v>28</v>
      </c>
      <c r="J401" s="488">
        <f t="shared" si="31"/>
        <v>0</v>
      </c>
    </row>
    <row r="402" spans="2:10" ht="15.75" hidden="1">
      <c r="B402" s="481">
        <v>51954</v>
      </c>
      <c r="C402" s="482">
        <f t="shared" si="29"/>
        <v>0.0589</v>
      </c>
      <c r="D402" s="483">
        <f t="shared" si="30"/>
        <v>0.0085</v>
      </c>
      <c r="E402" s="484">
        <f t="shared" si="28"/>
        <v>0.0674</v>
      </c>
      <c r="F402" s="485"/>
      <c r="G402" s="489"/>
      <c r="H402" s="485">
        <f t="shared" si="32"/>
        <v>0</v>
      </c>
      <c r="I402" s="487">
        <v>29</v>
      </c>
      <c r="J402" s="488">
        <f t="shared" si="31"/>
        <v>0</v>
      </c>
    </row>
    <row r="403" spans="2:10" ht="15.75" hidden="1">
      <c r="B403" s="490">
        <v>51955</v>
      </c>
      <c r="C403" s="482">
        <f t="shared" si="29"/>
        <v>0.0589</v>
      </c>
      <c r="D403" s="483">
        <f t="shared" si="30"/>
        <v>0.0085</v>
      </c>
      <c r="E403" s="484">
        <f t="shared" si="28"/>
        <v>0.0674</v>
      </c>
      <c r="F403" s="485"/>
      <c r="G403" s="489"/>
      <c r="H403" s="485">
        <f t="shared" si="32"/>
        <v>0</v>
      </c>
      <c r="I403" s="487">
        <v>1</v>
      </c>
      <c r="J403" s="488">
        <f t="shared" si="31"/>
        <v>0</v>
      </c>
    </row>
    <row r="404" spans="2:10" ht="15.75" hidden="1">
      <c r="B404" s="481">
        <v>51956</v>
      </c>
      <c r="C404" s="482">
        <f t="shared" si="29"/>
        <v>0.0589</v>
      </c>
      <c r="D404" s="483">
        <f t="shared" si="30"/>
        <v>0.0085</v>
      </c>
      <c r="E404" s="484">
        <f aca="true" t="shared" si="33" ref="E404:E417">C404+D404</f>
        <v>0.0674</v>
      </c>
      <c r="F404" s="485"/>
      <c r="G404" s="489"/>
      <c r="H404" s="485">
        <f t="shared" si="32"/>
        <v>0</v>
      </c>
      <c r="I404" s="487">
        <v>1</v>
      </c>
      <c r="J404" s="488">
        <f t="shared" si="31"/>
        <v>0</v>
      </c>
    </row>
    <row r="405" spans="2:10" ht="15.75" hidden="1">
      <c r="B405" s="481">
        <v>51986</v>
      </c>
      <c r="C405" s="482">
        <f aca="true" t="shared" si="34" ref="C405:C417">C404</f>
        <v>0.0589</v>
      </c>
      <c r="D405" s="483">
        <f aca="true" t="shared" si="35" ref="D405:D417">D404</f>
        <v>0.0085</v>
      </c>
      <c r="E405" s="484">
        <f t="shared" si="33"/>
        <v>0.0674</v>
      </c>
      <c r="F405" s="485"/>
      <c r="G405" s="489"/>
      <c r="H405" s="485">
        <f t="shared" si="32"/>
        <v>0</v>
      </c>
      <c r="I405" s="487">
        <v>30</v>
      </c>
      <c r="J405" s="488">
        <f t="shared" si="31"/>
        <v>0</v>
      </c>
    </row>
    <row r="406" spans="2:10" ht="15.75" hidden="1">
      <c r="B406" s="491">
        <v>52017</v>
      </c>
      <c r="C406" s="482">
        <f t="shared" si="34"/>
        <v>0.0589</v>
      </c>
      <c r="D406" s="483">
        <f t="shared" si="35"/>
        <v>0.0085</v>
      </c>
      <c r="E406" s="484">
        <f t="shared" si="33"/>
        <v>0.0674</v>
      </c>
      <c r="F406" s="485"/>
      <c r="G406" s="489"/>
      <c r="H406" s="485">
        <f t="shared" si="32"/>
        <v>0</v>
      </c>
      <c r="I406" s="487">
        <v>31</v>
      </c>
      <c r="J406" s="488">
        <f t="shared" si="31"/>
        <v>0</v>
      </c>
    </row>
    <row r="407" spans="2:10" ht="15.75" hidden="1">
      <c r="B407" s="491">
        <v>52046</v>
      </c>
      <c r="C407" s="482">
        <f t="shared" si="34"/>
        <v>0.0589</v>
      </c>
      <c r="D407" s="483">
        <f t="shared" si="35"/>
        <v>0.0085</v>
      </c>
      <c r="E407" s="484">
        <f t="shared" si="33"/>
        <v>0.0674</v>
      </c>
      <c r="F407" s="498"/>
      <c r="G407" s="531"/>
      <c r="H407" s="485">
        <f t="shared" si="32"/>
        <v>0</v>
      </c>
      <c r="I407" s="493">
        <v>29</v>
      </c>
      <c r="J407" s="488">
        <f t="shared" si="31"/>
        <v>0</v>
      </c>
    </row>
    <row r="408" spans="2:10" ht="15.75" hidden="1">
      <c r="B408" s="490">
        <v>52047</v>
      </c>
      <c r="C408" s="482">
        <f t="shared" si="34"/>
        <v>0.0589</v>
      </c>
      <c r="D408" s="483">
        <f t="shared" si="35"/>
        <v>0.0085</v>
      </c>
      <c r="E408" s="484">
        <f t="shared" si="33"/>
        <v>0.0674</v>
      </c>
      <c r="F408" s="485"/>
      <c r="G408" s="489"/>
      <c r="H408" s="485">
        <f t="shared" si="32"/>
        <v>0</v>
      </c>
      <c r="I408" s="487">
        <v>1</v>
      </c>
      <c r="J408" s="488">
        <f t="shared" si="31"/>
        <v>0</v>
      </c>
    </row>
    <row r="409" spans="2:10" ht="15.75" hidden="1">
      <c r="B409" s="481">
        <v>52078</v>
      </c>
      <c r="C409" s="482">
        <f t="shared" si="34"/>
        <v>0.0589</v>
      </c>
      <c r="D409" s="483">
        <f t="shared" si="35"/>
        <v>0.0085</v>
      </c>
      <c r="E409" s="484">
        <f t="shared" si="33"/>
        <v>0.0674</v>
      </c>
      <c r="F409" s="485"/>
      <c r="G409" s="489"/>
      <c r="H409" s="485">
        <f t="shared" si="32"/>
        <v>0</v>
      </c>
      <c r="I409" s="487">
        <v>31</v>
      </c>
      <c r="J409" s="488">
        <f t="shared" si="31"/>
        <v>0</v>
      </c>
    </row>
    <row r="410" spans="2:10" ht="15.75" hidden="1">
      <c r="B410" s="481">
        <v>52109</v>
      </c>
      <c r="C410" s="482">
        <f t="shared" si="34"/>
        <v>0.0589</v>
      </c>
      <c r="D410" s="483">
        <f t="shared" si="35"/>
        <v>0.0085</v>
      </c>
      <c r="E410" s="484">
        <f t="shared" si="33"/>
        <v>0.0674</v>
      </c>
      <c r="F410" s="485"/>
      <c r="G410" s="489"/>
      <c r="H410" s="485">
        <f t="shared" si="32"/>
        <v>0</v>
      </c>
      <c r="I410" s="493">
        <v>31</v>
      </c>
      <c r="J410" s="488">
        <f t="shared" si="31"/>
        <v>0</v>
      </c>
    </row>
    <row r="411" spans="2:10" ht="15.75" hidden="1">
      <c r="B411" s="481">
        <v>52138</v>
      </c>
      <c r="C411" s="482">
        <f t="shared" si="34"/>
        <v>0.0589</v>
      </c>
      <c r="D411" s="483">
        <f t="shared" si="35"/>
        <v>0.0085</v>
      </c>
      <c r="E411" s="484">
        <f t="shared" si="33"/>
        <v>0.0674</v>
      </c>
      <c r="F411" s="485"/>
      <c r="G411" s="489"/>
      <c r="H411" s="485">
        <f t="shared" si="32"/>
        <v>0</v>
      </c>
      <c r="I411" s="487">
        <v>29</v>
      </c>
      <c r="J411" s="488">
        <f t="shared" si="31"/>
        <v>0</v>
      </c>
    </row>
    <row r="412" spans="2:10" ht="15.75" hidden="1">
      <c r="B412" s="490">
        <v>52139</v>
      </c>
      <c r="C412" s="482">
        <f t="shared" si="34"/>
        <v>0.0589</v>
      </c>
      <c r="D412" s="483">
        <f t="shared" si="35"/>
        <v>0.0085</v>
      </c>
      <c r="E412" s="484">
        <f t="shared" si="33"/>
        <v>0.0674</v>
      </c>
      <c r="F412" s="485"/>
      <c r="G412" s="489"/>
      <c r="H412" s="485">
        <f t="shared" si="32"/>
        <v>0</v>
      </c>
      <c r="I412" s="487">
        <v>1</v>
      </c>
      <c r="J412" s="488">
        <f t="shared" si="31"/>
        <v>0</v>
      </c>
    </row>
    <row r="413" spans="2:10" ht="15.75" hidden="1">
      <c r="B413" s="491">
        <v>52170</v>
      </c>
      <c r="C413" s="482">
        <f t="shared" si="34"/>
        <v>0.0589</v>
      </c>
      <c r="D413" s="483">
        <f t="shared" si="35"/>
        <v>0.0085</v>
      </c>
      <c r="E413" s="484">
        <f t="shared" si="33"/>
        <v>0.0674</v>
      </c>
      <c r="F413" s="485"/>
      <c r="G413" s="489"/>
      <c r="H413" s="485">
        <f t="shared" si="32"/>
        <v>0</v>
      </c>
      <c r="I413" s="493">
        <v>31</v>
      </c>
      <c r="J413" s="488">
        <f t="shared" si="31"/>
        <v>0</v>
      </c>
    </row>
    <row r="414" spans="2:10" ht="15.75" hidden="1">
      <c r="B414" s="491">
        <v>52200</v>
      </c>
      <c r="C414" s="482">
        <f t="shared" si="34"/>
        <v>0.0589</v>
      </c>
      <c r="D414" s="483">
        <f t="shared" si="35"/>
        <v>0.0085</v>
      </c>
      <c r="E414" s="484">
        <f t="shared" si="33"/>
        <v>0.0674</v>
      </c>
      <c r="F414" s="485"/>
      <c r="G414" s="489"/>
      <c r="H414" s="485">
        <f t="shared" si="32"/>
        <v>0</v>
      </c>
      <c r="I414" s="493">
        <v>30</v>
      </c>
      <c r="J414" s="488">
        <f>H414*E414*I414/365</f>
        <v>0</v>
      </c>
    </row>
    <row r="415" spans="2:10" ht="15.75" hidden="1">
      <c r="B415" s="491">
        <v>52229</v>
      </c>
      <c r="C415" s="482">
        <f t="shared" si="34"/>
        <v>0.0589</v>
      </c>
      <c r="D415" s="483">
        <f t="shared" si="35"/>
        <v>0.0085</v>
      </c>
      <c r="E415" s="484">
        <f t="shared" si="33"/>
        <v>0.0674</v>
      </c>
      <c r="F415" s="485"/>
      <c r="G415" s="489"/>
      <c r="H415" s="485">
        <f t="shared" si="32"/>
        <v>0</v>
      </c>
      <c r="I415" s="493">
        <v>29</v>
      </c>
      <c r="J415" s="488">
        <f>H415*E415*I415/365</f>
        <v>0</v>
      </c>
    </row>
    <row r="416" spans="2:10" ht="15.75" hidden="1">
      <c r="B416" s="490">
        <v>52230</v>
      </c>
      <c r="C416" s="482">
        <f t="shared" si="34"/>
        <v>0.0589</v>
      </c>
      <c r="D416" s="483">
        <f t="shared" si="35"/>
        <v>0.0085</v>
      </c>
      <c r="E416" s="484">
        <f t="shared" si="33"/>
        <v>0.0674</v>
      </c>
      <c r="F416" s="485"/>
      <c r="G416" s="489"/>
      <c r="H416" s="485">
        <f t="shared" si="32"/>
        <v>0</v>
      </c>
      <c r="I416" s="493">
        <v>1</v>
      </c>
      <c r="J416" s="488">
        <f>H416*E416*I416/365</f>
        <v>0</v>
      </c>
    </row>
    <row r="417" spans="2:10" ht="15.75" hidden="1">
      <c r="B417" s="430">
        <v>52231</v>
      </c>
      <c r="C417" s="431">
        <f t="shared" si="34"/>
        <v>0.0589</v>
      </c>
      <c r="D417" s="432">
        <f t="shared" si="35"/>
        <v>0.0085</v>
      </c>
      <c r="E417" s="433">
        <f t="shared" si="33"/>
        <v>0.0674</v>
      </c>
      <c r="F417" s="434"/>
      <c r="G417" s="534"/>
      <c r="H417" s="434">
        <f t="shared" si="32"/>
        <v>0</v>
      </c>
      <c r="I417" s="436">
        <v>1</v>
      </c>
      <c r="J417" s="437">
        <f>H417*E417*I417/365</f>
        <v>0</v>
      </c>
    </row>
    <row r="419" spans="9:12" ht="12.75">
      <c r="I419" t="s">
        <v>192</v>
      </c>
      <c r="J419" s="555">
        <f>K22+K40+K58+K76+K94+K112+K130+K148+K166+K184+K202+K220+K238+K256+K274+K292+K310+K328+K346+K364+K382</f>
        <v>14403309.6261846</v>
      </c>
      <c r="K419" s="555">
        <f>SUM(J20:J417)</f>
        <v>14403309.626184607</v>
      </c>
      <c r="L419" s="555">
        <f>SUM(L19:L399)</f>
        <v>16900000</v>
      </c>
    </row>
    <row r="420" spans="9:10" ht="12.75">
      <c r="I420" t="s">
        <v>193</v>
      </c>
      <c r="J420" s="555">
        <f>D3*D8</f>
        <v>0</v>
      </c>
    </row>
    <row r="421" spans="9:10" ht="15">
      <c r="I421" s="556" t="s">
        <v>194</v>
      </c>
      <c r="J421" s="557">
        <f>J419+J420</f>
        <v>14403309.6261846</v>
      </c>
    </row>
  </sheetData>
  <sheetProtection selectLockedCells="1" selectUnlockedCells="1"/>
  <mergeCells count="31">
    <mergeCell ref="A2:G2"/>
    <mergeCell ref="A3:C3"/>
    <mergeCell ref="D3:G3"/>
    <mergeCell ref="A4:C5"/>
    <mergeCell ref="D4:G4"/>
    <mergeCell ref="D5:G5"/>
    <mergeCell ref="A6:C6"/>
    <mergeCell ref="D6:G6"/>
    <mergeCell ref="A7:C7"/>
    <mergeCell ref="D7:G7"/>
    <mergeCell ref="A8:C8"/>
    <mergeCell ref="D8:G8"/>
    <mergeCell ref="D18:D19"/>
    <mergeCell ref="F18:F19"/>
    <mergeCell ref="G18:G19"/>
    <mergeCell ref="A9:C9"/>
    <mergeCell ref="D9:G9"/>
    <mergeCell ref="A10:C10"/>
    <mergeCell ref="D10:G10"/>
    <mergeCell ref="A11:C11"/>
    <mergeCell ref="E11:G11"/>
    <mergeCell ref="H18:H19"/>
    <mergeCell ref="I18:I19"/>
    <mergeCell ref="N36:P38"/>
    <mergeCell ref="A12:C12"/>
    <mergeCell ref="D12:G12"/>
    <mergeCell ref="A13:C13"/>
    <mergeCell ref="D13:G13"/>
    <mergeCell ref="B16:J16"/>
    <mergeCell ref="B18:B19"/>
    <mergeCell ref="C18:C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421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20.8515625" style="0" customWidth="1"/>
    <col min="3" max="3" width="18.00390625" style="0" customWidth="1"/>
    <col min="6" max="6" width="17.421875" style="0" customWidth="1"/>
    <col min="7" max="7" width="22.421875" style="0" customWidth="1"/>
    <col min="8" max="8" width="20.00390625" style="0" customWidth="1"/>
    <col min="9" max="9" width="19.421875" style="0" customWidth="1"/>
    <col min="10" max="10" width="19.140625" style="0" customWidth="1"/>
    <col min="11" max="11" width="14.57421875" style="0" customWidth="1"/>
    <col min="12" max="12" width="12.421875" style="0" customWidth="1"/>
    <col min="14" max="14" width="16.421875" style="0" customWidth="1"/>
    <col min="15" max="15" width="15.00390625" style="0" customWidth="1"/>
  </cols>
  <sheetData>
    <row r="1" ht="42.75" customHeight="1"/>
    <row r="2" spans="1:13" ht="15.75">
      <c r="A2" s="894" t="s">
        <v>151</v>
      </c>
      <c r="B2" s="894"/>
      <c r="C2" s="894"/>
      <c r="D2" s="894"/>
      <c r="E2" s="894"/>
      <c r="F2" s="894"/>
      <c r="G2" s="894"/>
      <c r="H2" s="409"/>
      <c r="I2" s="409"/>
      <c r="J2" s="409"/>
      <c r="K2" s="409"/>
      <c r="L2" s="409"/>
      <c r="M2" s="409"/>
    </row>
    <row r="3" spans="1:13" ht="15.75">
      <c r="A3" s="895" t="s">
        <v>152</v>
      </c>
      <c r="B3" s="895"/>
      <c r="C3" s="895"/>
      <c r="D3" s="896">
        <v>3500000</v>
      </c>
      <c r="E3" s="896"/>
      <c r="F3" s="896"/>
      <c r="G3" s="896"/>
      <c r="H3" s="409"/>
      <c r="I3" s="409"/>
      <c r="J3" s="409"/>
      <c r="K3" s="409"/>
      <c r="L3" s="409"/>
      <c r="M3" s="409"/>
    </row>
    <row r="4" spans="1:13" ht="15.75" customHeight="1">
      <c r="A4" s="883" t="s">
        <v>153</v>
      </c>
      <c r="B4" s="883"/>
      <c r="C4" s="883"/>
      <c r="D4" s="897" t="s">
        <v>195</v>
      </c>
      <c r="E4" s="897"/>
      <c r="F4" s="897"/>
      <c r="G4" s="897"/>
      <c r="H4" s="409"/>
      <c r="I4" s="409"/>
      <c r="J4" s="409"/>
      <c r="K4" s="409"/>
      <c r="L4" s="409"/>
      <c r="M4" s="409"/>
    </row>
    <row r="5" spans="1:13" ht="15.75">
      <c r="A5" s="883"/>
      <c r="B5" s="883"/>
      <c r="C5" s="883"/>
      <c r="D5" s="898">
        <v>0.0589</v>
      </c>
      <c r="E5" s="898"/>
      <c r="F5" s="898"/>
      <c r="G5" s="898"/>
      <c r="H5" s="409"/>
      <c r="I5" s="409"/>
      <c r="J5" s="409"/>
      <c r="K5" s="409"/>
      <c r="L5" s="409"/>
      <c r="M5" s="409"/>
    </row>
    <row r="6" spans="1:13" ht="15.75" customHeight="1">
      <c r="A6" s="890" t="s">
        <v>155</v>
      </c>
      <c r="B6" s="890"/>
      <c r="C6" s="890"/>
      <c r="D6" s="891">
        <v>0.0085</v>
      </c>
      <c r="E6" s="891"/>
      <c r="F6" s="891"/>
      <c r="G6" s="891"/>
      <c r="H6" s="409"/>
      <c r="I6" s="409"/>
      <c r="J6" s="409"/>
      <c r="K6" s="409"/>
      <c r="L6" s="409"/>
      <c r="M6" s="409"/>
    </row>
    <row r="7" spans="1:13" ht="93.75" customHeight="1">
      <c r="A7" s="883" t="s">
        <v>156</v>
      </c>
      <c r="B7" s="883"/>
      <c r="C7" s="883"/>
      <c r="D7" s="892" t="s">
        <v>157</v>
      </c>
      <c r="E7" s="892"/>
      <c r="F7" s="892"/>
      <c r="G7" s="892"/>
      <c r="H7" s="409"/>
      <c r="I7" s="409"/>
      <c r="J7" s="409"/>
      <c r="K7" s="409"/>
      <c r="L7" s="409"/>
      <c r="M7" s="409"/>
    </row>
    <row r="8" spans="1:13" ht="15.75">
      <c r="A8" s="890" t="s">
        <v>158</v>
      </c>
      <c r="B8" s="890"/>
      <c r="C8" s="890"/>
      <c r="D8" s="893">
        <v>0.01</v>
      </c>
      <c r="E8" s="893"/>
      <c r="F8" s="893"/>
      <c r="G8" s="893"/>
      <c r="H8" s="409"/>
      <c r="I8" s="409"/>
      <c r="J8" s="409"/>
      <c r="K8" s="409"/>
      <c r="L8" s="409"/>
      <c r="M8" s="409"/>
    </row>
    <row r="9" spans="1:13" ht="15.75" customHeight="1">
      <c r="A9" s="881" t="s">
        <v>159</v>
      </c>
      <c r="B9" s="881"/>
      <c r="C9" s="881"/>
      <c r="D9" s="886">
        <v>44895</v>
      </c>
      <c r="E9" s="886"/>
      <c r="F9" s="886"/>
      <c r="G9" s="886"/>
      <c r="H9" s="409"/>
      <c r="I9" s="409"/>
      <c r="J9" s="409"/>
      <c r="K9" s="409"/>
      <c r="L9" s="409"/>
      <c r="M9" s="409"/>
    </row>
    <row r="10" spans="1:13" ht="15.75" customHeight="1">
      <c r="A10" s="881" t="s">
        <v>160</v>
      </c>
      <c r="B10" s="881"/>
      <c r="C10" s="881"/>
      <c r="D10" s="887" t="s">
        <v>161</v>
      </c>
      <c r="E10" s="887"/>
      <c r="F10" s="887"/>
      <c r="G10" s="887"/>
      <c r="H10" s="409"/>
      <c r="I10" s="409"/>
      <c r="J10" s="409"/>
      <c r="K10" s="409"/>
      <c r="L10" s="409"/>
      <c r="M10" s="409"/>
    </row>
    <row r="11" spans="1:13" ht="86.25" customHeight="1">
      <c r="A11" s="888" t="s">
        <v>162</v>
      </c>
      <c r="B11" s="888"/>
      <c r="C11" s="888"/>
      <c r="D11" s="410" t="s">
        <v>163</v>
      </c>
      <c r="E11" s="889" t="s">
        <v>164</v>
      </c>
      <c r="F11" s="889"/>
      <c r="G11" s="889"/>
      <c r="H11" s="411"/>
      <c r="I11" s="409"/>
      <c r="J11" s="409"/>
      <c r="K11" s="409"/>
      <c r="L11" s="409"/>
      <c r="M11" s="409"/>
    </row>
    <row r="12" spans="1:13" ht="15.75" customHeight="1">
      <c r="A12" s="881" t="s">
        <v>162</v>
      </c>
      <c r="B12" s="881"/>
      <c r="C12" s="881"/>
      <c r="D12" s="882"/>
      <c r="E12" s="882"/>
      <c r="F12" s="882"/>
      <c r="G12" s="882"/>
      <c r="H12" s="409"/>
      <c r="I12" s="409"/>
      <c r="J12" s="409"/>
      <c r="K12" s="409"/>
      <c r="L12" s="409"/>
      <c r="M12" s="409"/>
    </row>
    <row r="13" spans="1:13" ht="15.75" customHeight="1">
      <c r="A13" s="883" t="s">
        <v>165</v>
      </c>
      <c r="B13" s="883"/>
      <c r="C13" s="883"/>
      <c r="D13" s="884" t="s">
        <v>166</v>
      </c>
      <c r="E13" s="884"/>
      <c r="F13" s="884"/>
      <c r="G13" s="884"/>
      <c r="H13" s="409"/>
      <c r="I13" s="409"/>
      <c r="J13" s="409"/>
      <c r="K13" s="409"/>
      <c r="L13" s="409"/>
      <c r="M13" s="409"/>
    </row>
    <row r="16" spans="1:13" ht="18.75">
      <c r="A16" s="409"/>
      <c r="B16" s="885" t="s">
        <v>167</v>
      </c>
      <c r="C16" s="885"/>
      <c r="D16" s="885"/>
      <c r="E16" s="885"/>
      <c r="F16" s="885"/>
      <c r="G16" s="885"/>
      <c r="H16" s="885"/>
      <c r="I16" s="885"/>
      <c r="J16" s="885"/>
      <c r="K16" s="412"/>
      <c r="L16" s="413"/>
      <c r="M16" s="412"/>
    </row>
    <row r="17" spans="2:13" ht="78.75">
      <c r="B17" s="414" t="s">
        <v>168</v>
      </c>
      <c r="C17" s="415" t="s">
        <v>169</v>
      </c>
      <c r="D17" s="415" t="s">
        <v>170</v>
      </c>
      <c r="E17" s="415" t="s">
        <v>171</v>
      </c>
      <c r="F17" s="415" t="s">
        <v>172</v>
      </c>
      <c r="G17" s="415" t="s">
        <v>162</v>
      </c>
      <c r="H17" s="415" t="s">
        <v>173</v>
      </c>
      <c r="I17" s="415" t="s">
        <v>174</v>
      </c>
      <c r="J17" s="415" t="s">
        <v>175</v>
      </c>
      <c r="K17" s="409"/>
      <c r="L17" s="409"/>
      <c r="M17" s="409"/>
    </row>
    <row r="18" spans="2:15" ht="15">
      <c r="B18" s="879" t="s">
        <v>176</v>
      </c>
      <c r="C18" s="879" t="s">
        <v>177</v>
      </c>
      <c r="D18" s="879" t="s">
        <v>178</v>
      </c>
      <c r="E18" s="416" t="s">
        <v>179</v>
      </c>
      <c r="F18" s="879" t="s">
        <v>180</v>
      </c>
      <c r="G18" s="879" t="s">
        <v>181</v>
      </c>
      <c r="H18" s="879" t="s">
        <v>182</v>
      </c>
      <c r="I18" s="879" t="s">
        <v>183</v>
      </c>
      <c r="J18" s="417" t="s">
        <v>184</v>
      </c>
      <c r="K18" s="409"/>
      <c r="L18" s="409"/>
      <c r="M18" s="558"/>
      <c r="N18" s="510"/>
      <c r="O18" s="510"/>
    </row>
    <row r="19" spans="2:15" ht="27.75" customHeight="1">
      <c r="B19" s="879"/>
      <c r="C19" s="879"/>
      <c r="D19" s="879"/>
      <c r="E19" s="418" t="s">
        <v>186</v>
      </c>
      <c r="F19" s="879"/>
      <c r="G19" s="879"/>
      <c r="H19" s="879"/>
      <c r="I19" s="879"/>
      <c r="J19" s="419" t="s">
        <v>187</v>
      </c>
      <c r="K19" s="409"/>
      <c r="L19" s="409"/>
      <c r="M19" s="899"/>
      <c r="N19" s="899"/>
      <c r="O19" s="899"/>
    </row>
    <row r="20" spans="2:15" ht="15.75" hidden="1">
      <c r="B20" s="420">
        <v>44165</v>
      </c>
      <c r="C20" s="421">
        <f>D5</f>
        <v>0.0589</v>
      </c>
      <c r="D20" s="422">
        <f>D6</f>
        <v>0.0085</v>
      </c>
      <c r="E20" s="423">
        <f aca="true" t="shared" si="0" ref="E20:E83">C20+D20</f>
        <v>0.0674</v>
      </c>
      <c r="F20" s="424"/>
      <c r="G20" s="425"/>
      <c r="H20" s="426">
        <f>F20</f>
        <v>0</v>
      </c>
      <c r="I20" s="427">
        <v>1</v>
      </c>
      <c r="J20" s="428">
        <f>H20*E20*I20/366</f>
        <v>0</v>
      </c>
      <c r="K20" s="429"/>
      <c r="L20" s="429"/>
      <c r="M20" s="899"/>
      <c r="N20" s="899"/>
      <c r="O20" s="899"/>
    </row>
    <row r="21" spans="2:15" ht="15.75" hidden="1">
      <c r="B21" s="430">
        <v>44196</v>
      </c>
      <c r="C21" s="431">
        <f aca="true" t="shared" si="1" ref="C21:C84">C20</f>
        <v>0.0589</v>
      </c>
      <c r="D21" s="432">
        <f aca="true" t="shared" si="2" ref="D21:D84">D20</f>
        <v>0.0085</v>
      </c>
      <c r="E21" s="433">
        <f t="shared" si="0"/>
        <v>0.0674</v>
      </c>
      <c r="F21" s="434"/>
      <c r="G21" s="435"/>
      <c r="H21" s="434">
        <f aca="true" t="shared" si="3" ref="H21:H45">H20-G21</f>
        <v>0</v>
      </c>
      <c r="I21" s="436">
        <v>31</v>
      </c>
      <c r="J21" s="437">
        <f>H21*E21*I21/366</f>
        <v>0</v>
      </c>
      <c r="K21" s="438">
        <f>J20+J21</f>
        <v>0</v>
      </c>
      <c r="L21" s="439" t="s">
        <v>188</v>
      </c>
      <c r="M21" s="899"/>
      <c r="N21" s="899"/>
      <c r="O21" s="899"/>
    </row>
    <row r="22" spans="2:15" ht="15.75" hidden="1">
      <c r="B22" s="440">
        <v>44227</v>
      </c>
      <c r="C22" s="441">
        <f t="shared" si="1"/>
        <v>0.0589</v>
      </c>
      <c r="D22" s="442">
        <f t="shared" si="2"/>
        <v>0.0085</v>
      </c>
      <c r="E22" s="443">
        <f t="shared" si="0"/>
        <v>0.0674</v>
      </c>
      <c r="F22" s="444"/>
      <c r="G22" s="445"/>
      <c r="H22" s="444">
        <f t="shared" si="3"/>
        <v>0</v>
      </c>
      <c r="I22" s="446">
        <v>31</v>
      </c>
      <c r="J22" s="447">
        <f aca="true" t="shared" si="4" ref="J22:J45">H22*E22*I22/365</f>
        <v>0</v>
      </c>
      <c r="K22" s="438">
        <f>SUM(J22:J39)</f>
        <v>0</v>
      </c>
      <c r="L22" s="439" t="s">
        <v>189</v>
      </c>
      <c r="M22" s="513"/>
      <c r="N22" s="513"/>
      <c r="O22" s="513"/>
    </row>
    <row r="23" spans="2:15" ht="15.75" hidden="1">
      <c r="B23" s="448">
        <v>44255</v>
      </c>
      <c r="C23" s="449">
        <f t="shared" si="1"/>
        <v>0.0589</v>
      </c>
      <c r="D23" s="450">
        <f t="shared" si="2"/>
        <v>0.0085</v>
      </c>
      <c r="E23" s="451">
        <f t="shared" si="0"/>
        <v>0.0674</v>
      </c>
      <c r="F23" s="452"/>
      <c r="G23" s="453"/>
      <c r="H23" s="452">
        <f t="shared" si="3"/>
        <v>0</v>
      </c>
      <c r="I23" s="454">
        <v>28</v>
      </c>
      <c r="J23" s="455">
        <f t="shared" si="4"/>
        <v>0</v>
      </c>
      <c r="K23" s="456"/>
      <c r="L23" s="457"/>
      <c r="M23" s="515"/>
      <c r="N23" s="516"/>
      <c r="O23" s="516"/>
    </row>
    <row r="24" spans="2:15" ht="15.75" hidden="1">
      <c r="B24" s="448">
        <v>44284</v>
      </c>
      <c r="C24" s="449">
        <f t="shared" si="1"/>
        <v>0.0589</v>
      </c>
      <c r="D24" s="450">
        <f t="shared" si="2"/>
        <v>0.0085</v>
      </c>
      <c r="E24" s="451">
        <f t="shared" si="0"/>
        <v>0.0674</v>
      </c>
      <c r="F24" s="452"/>
      <c r="G24" s="453"/>
      <c r="H24" s="452">
        <f t="shared" si="3"/>
        <v>0</v>
      </c>
      <c r="I24" s="454">
        <v>29</v>
      </c>
      <c r="J24" s="455">
        <f t="shared" si="4"/>
        <v>0</v>
      </c>
      <c r="K24" s="456"/>
      <c r="L24" s="457"/>
      <c r="M24" s="515"/>
      <c r="N24" s="516"/>
      <c r="O24" s="516"/>
    </row>
    <row r="25" spans="2:15" ht="15.75" hidden="1">
      <c r="B25" s="458">
        <v>44285</v>
      </c>
      <c r="C25" s="449">
        <f t="shared" si="1"/>
        <v>0.0589</v>
      </c>
      <c r="D25" s="450">
        <f t="shared" si="2"/>
        <v>0.0085</v>
      </c>
      <c r="E25" s="451">
        <f t="shared" si="0"/>
        <v>0.0674</v>
      </c>
      <c r="F25" s="452"/>
      <c r="G25" s="459"/>
      <c r="H25" s="452">
        <f t="shared" si="3"/>
        <v>0</v>
      </c>
      <c r="I25" s="454">
        <v>1</v>
      </c>
      <c r="J25" s="455">
        <f t="shared" si="4"/>
        <v>0</v>
      </c>
      <c r="K25" s="439"/>
      <c r="L25" s="439"/>
      <c r="M25" s="515"/>
      <c r="N25" s="516"/>
      <c r="O25" s="516"/>
    </row>
    <row r="26" spans="2:15" ht="15.75" hidden="1">
      <c r="B26" s="448">
        <v>44286</v>
      </c>
      <c r="C26" s="449">
        <f t="shared" si="1"/>
        <v>0.0589</v>
      </c>
      <c r="D26" s="450">
        <f t="shared" si="2"/>
        <v>0.0085</v>
      </c>
      <c r="E26" s="451">
        <f t="shared" si="0"/>
        <v>0.0674</v>
      </c>
      <c r="F26" s="452"/>
      <c r="G26" s="453"/>
      <c r="H26" s="452">
        <f t="shared" si="3"/>
        <v>0</v>
      </c>
      <c r="I26" s="454">
        <v>1</v>
      </c>
      <c r="J26" s="455">
        <f t="shared" si="4"/>
        <v>0</v>
      </c>
      <c r="K26" s="457"/>
      <c r="L26" s="457"/>
      <c r="M26" s="515"/>
      <c r="N26" s="516"/>
      <c r="O26" s="516"/>
    </row>
    <row r="27" spans="2:15" ht="15.75" hidden="1">
      <c r="B27" s="448">
        <v>44316</v>
      </c>
      <c r="C27" s="449">
        <f t="shared" si="1"/>
        <v>0.0589</v>
      </c>
      <c r="D27" s="450">
        <f t="shared" si="2"/>
        <v>0.0085</v>
      </c>
      <c r="E27" s="451">
        <f t="shared" si="0"/>
        <v>0.0674</v>
      </c>
      <c r="F27" s="452"/>
      <c r="G27" s="453"/>
      <c r="H27" s="452">
        <f t="shared" si="3"/>
        <v>0</v>
      </c>
      <c r="I27" s="454">
        <v>30</v>
      </c>
      <c r="J27" s="455">
        <f t="shared" si="4"/>
        <v>0</v>
      </c>
      <c r="K27" s="460"/>
      <c r="L27" s="460"/>
      <c r="M27" s="515"/>
      <c r="N27" s="516"/>
      <c r="O27" s="516"/>
    </row>
    <row r="28" spans="2:15" ht="15.75" hidden="1">
      <c r="B28" s="461">
        <v>44347</v>
      </c>
      <c r="C28" s="449">
        <f t="shared" si="1"/>
        <v>0.0589</v>
      </c>
      <c r="D28" s="450">
        <f t="shared" si="2"/>
        <v>0.0085</v>
      </c>
      <c r="E28" s="451">
        <f t="shared" si="0"/>
        <v>0.0674</v>
      </c>
      <c r="F28" s="462"/>
      <c r="G28" s="459"/>
      <c r="H28" s="452">
        <f t="shared" si="3"/>
        <v>0</v>
      </c>
      <c r="I28" s="454">
        <v>31</v>
      </c>
      <c r="J28" s="455">
        <f t="shared" si="4"/>
        <v>0</v>
      </c>
      <c r="K28" s="439"/>
      <c r="L28" s="439"/>
      <c r="M28" s="515"/>
      <c r="N28" s="516"/>
      <c r="O28" s="516"/>
    </row>
    <row r="29" spans="2:15" ht="15.75" hidden="1">
      <c r="B29" s="461">
        <v>44376</v>
      </c>
      <c r="C29" s="449">
        <f t="shared" si="1"/>
        <v>0.0589</v>
      </c>
      <c r="D29" s="450">
        <f t="shared" si="2"/>
        <v>0.0085</v>
      </c>
      <c r="E29" s="451">
        <f t="shared" si="0"/>
        <v>0.0674</v>
      </c>
      <c r="F29" s="462"/>
      <c r="G29" s="459"/>
      <c r="H29" s="452">
        <f t="shared" si="3"/>
        <v>0</v>
      </c>
      <c r="I29" s="454">
        <v>29</v>
      </c>
      <c r="J29" s="455">
        <f t="shared" si="4"/>
        <v>0</v>
      </c>
      <c r="K29" s="439"/>
      <c r="L29" s="439"/>
      <c r="M29" s="515"/>
      <c r="N29" s="516"/>
      <c r="O29" s="516"/>
    </row>
    <row r="30" spans="2:15" ht="15.75" hidden="1">
      <c r="B30" s="458">
        <v>44377</v>
      </c>
      <c r="C30" s="449">
        <f t="shared" si="1"/>
        <v>0.0589</v>
      </c>
      <c r="D30" s="450">
        <f t="shared" si="2"/>
        <v>0.0085</v>
      </c>
      <c r="E30" s="451">
        <f t="shared" si="0"/>
        <v>0.0674</v>
      </c>
      <c r="F30" s="452"/>
      <c r="G30" s="459"/>
      <c r="H30" s="452">
        <f t="shared" si="3"/>
        <v>0</v>
      </c>
      <c r="I30" s="454">
        <v>1</v>
      </c>
      <c r="J30" s="455">
        <f t="shared" si="4"/>
        <v>0</v>
      </c>
      <c r="K30" s="439"/>
      <c r="L30" s="439"/>
      <c r="M30" s="515"/>
      <c r="N30" s="516"/>
      <c r="O30" s="516"/>
    </row>
    <row r="31" spans="2:15" ht="15.75" hidden="1">
      <c r="B31" s="448">
        <v>44408</v>
      </c>
      <c r="C31" s="449">
        <f t="shared" si="1"/>
        <v>0.0589</v>
      </c>
      <c r="D31" s="450">
        <f t="shared" si="2"/>
        <v>0.0085</v>
      </c>
      <c r="E31" s="451">
        <f t="shared" si="0"/>
        <v>0.0674</v>
      </c>
      <c r="F31" s="452"/>
      <c r="G31" s="453"/>
      <c r="H31" s="452">
        <f t="shared" si="3"/>
        <v>0</v>
      </c>
      <c r="I31" s="454">
        <v>31</v>
      </c>
      <c r="J31" s="455">
        <f t="shared" si="4"/>
        <v>0</v>
      </c>
      <c r="K31" s="457"/>
      <c r="L31" s="457"/>
      <c r="M31" s="515"/>
      <c r="N31" s="516"/>
      <c r="O31" s="516"/>
    </row>
    <row r="32" spans="2:15" ht="15.75" hidden="1">
      <c r="B32" s="448">
        <v>44439</v>
      </c>
      <c r="C32" s="449">
        <f t="shared" si="1"/>
        <v>0.0589</v>
      </c>
      <c r="D32" s="450">
        <f t="shared" si="2"/>
        <v>0.0085</v>
      </c>
      <c r="E32" s="451">
        <f t="shared" si="0"/>
        <v>0.0674</v>
      </c>
      <c r="F32" s="452"/>
      <c r="G32" s="453"/>
      <c r="H32" s="452">
        <f t="shared" si="3"/>
        <v>0</v>
      </c>
      <c r="I32" s="454">
        <v>31</v>
      </c>
      <c r="J32" s="455">
        <f t="shared" si="4"/>
        <v>0</v>
      </c>
      <c r="K32" s="439"/>
      <c r="L32" s="439"/>
      <c r="M32" s="515"/>
      <c r="N32" s="516"/>
      <c r="O32" s="516"/>
    </row>
    <row r="33" spans="2:15" ht="15.75" hidden="1">
      <c r="B33" s="448">
        <v>44468</v>
      </c>
      <c r="C33" s="449">
        <f t="shared" si="1"/>
        <v>0.0589</v>
      </c>
      <c r="D33" s="450">
        <f t="shared" si="2"/>
        <v>0.0085</v>
      </c>
      <c r="E33" s="451">
        <f t="shared" si="0"/>
        <v>0.0674</v>
      </c>
      <c r="F33" s="452"/>
      <c r="G33" s="453"/>
      <c r="H33" s="452">
        <f t="shared" si="3"/>
        <v>0</v>
      </c>
      <c r="I33" s="454">
        <v>29</v>
      </c>
      <c r="J33" s="455">
        <f t="shared" si="4"/>
        <v>0</v>
      </c>
      <c r="K33" s="439"/>
      <c r="L33" s="439"/>
      <c r="M33" s="515"/>
      <c r="N33" s="516"/>
      <c r="O33" s="516"/>
    </row>
    <row r="34" spans="2:15" ht="15.75" hidden="1">
      <c r="B34" s="458">
        <v>44469</v>
      </c>
      <c r="C34" s="449">
        <f t="shared" si="1"/>
        <v>0.0589</v>
      </c>
      <c r="D34" s="450">
        <f t="shared" si="2"/>
        <v>0.0085</v>
      </c>
      <c r="E34" s="451">
        <f t="shared" si="0"/>
        <v>0.0674</v>
      </c>
      <c r="F34" s="452"/>
      <c r="G34" s="459"/>
      <c r="H34" s="452">
        <f t="shared" si="3"/>
        <v>0</v>
      </c>
      <c r="I34" s="454">
        <v>1</v>
      </c>
      <c r="J34" s="455">
        <f t="shared" si="4"/>
        <v>0</v>
      </c>
      <c r="K34" s="457"/>
      <c r="L34" s="457"/>
      <c r="M34" s="515"/>
      <c r="N34" s="516"/>
      <c r="O34" s="516"/>
    </row>
    <row r="35" spans="2:15" ht="15.75" hidden="1">
      <c r="B35" s="461">
        <v>44500</v>
      </c>
      <c r="C35" s="449">
        <f t="shared" si="1"/>
        <v>0.0589</v>
      </c>
      <c r="D35" s="450">
        <f t="shared" si="2"/>
        <v>0.0085</v>
      </c>
      <c r="E35" s="451">
        <f t="shared" si="0"/>
        <v>0.0674</v>
      </c>
      <c r="F35" s="462"/>
      <c r="G35" s="459"/>
      <c r="H35" s="452">
        <f t="shared" si="3"/>
        <v>0</v>
      </c>
      <c r="I35" s="454">
        <v>30</v>
      </c>
      <c r="J35" s="455">
        <f t="shared" si="4"/>
        <v>0</v>
      </c>
      <c r="K35" s="429"/>
      <c r="L35" s="429"/>
      <c r="M35" s="515"/>
      <c r="N35" s="516"/>
      <c r="O35" s="516"/>
    </row>
    <row r="36" spans="2:15" ht="15.75" hidden="1">
      <c r="B36" s="463">
        <v>44530</v>
      </c>
      <c r="C36" s="449">
        <f t="shared" si="1"/>
        <v>0.0589</v>
      </c>
      <c r="D36" s="450">
        <f t="shared" si="2"/>
        <v>0.0085</v>
      </c>
      <c r="E36" s="451">
        <f t="shared" si="0"/>
        <v>0.0674</v>
      </c>
      <c r="F36" s="464"/>
      <c r="G36" s="465"/>
      <c r="H36" s="452">
        <f t="shared" si="3"/>
        <v>0</v>
      </c>
      <c r="I36" s="466">
        <v>31</v>
      </c>
      <c r="J36" s="455">
        <f t="shared" si="4"/>
        <v>0</v>
      </c>
      <c r="K36" s="429"/>
      <c r="L36" s="429"/>
      <c r="M36" s="515"/>
      <c r="N36" s="516"/>
      <c r="O36" s="516"/>
    </row>
    <row r="37" spans="2:15" ht="15.75" hidden="1">
      <c r="B37" s="463">
        <v>44559</v>
      </c>
      <c r="C37" s="449">
        <f t="shared" si="1"/>
        <v>0.0589</v>
      </c>
      <c r="D37" s="450">
        <f t="shared" si="2"/>
        <v>0.0085</v>
      </c>
      <c r="E37" s="451">
        <f t="shared" si="0"/>
        <v>0.0674</v>
      </c>
      <c r="F37" s="464"/>
      <c r="G37" s="465"/>
      <c r="H37" s="452">
        <f t="shared" si="3"/>
        <v>0</v>
      </c>
      <c r="I37" s="466">
        <v>29</v>
      </c>
      <c r="J37" s="455">
        <f t="shared" si="4"/>
        <v>0</v>
      </c>
      <c r="K37" s="429"/>
      <c r="L37" s="429"/>
      <c r="M37" s="515"/>
      <c r="N37" s="516"/>
      <c r="O37" s="516"/>
    </row>
    <row r="38" spans="2:15" ht="15.75" hidden="1">
      <c r="B38" s="468">
        <v>44560</v>
      </c>
      <c r="C38" s="449">
        <f t="shared" si="1"/>
        <v>0.0589</v>
      </c>
      <c r="D38" s="450">
        <f t="shared" si="2"/>
        <v>0.0085</v>
      </c>
      <c r="E38" s="451">
        <f t="shared" si="0"/>
        <v>0.0674</v>
      </c>
      <c r="F38" s="464"/>
      <c r="G38" s="465"/>
      <c r="H38" s="452">
        <f t="shared" si="3"/>
        <v>0</v>
      </c>
      <c r="I38" s="466">
        <v>1</v>
      </c>
      <c r="J38" s="455">
        <f t="shared" si="4"/>
        <v>0</v>
      </c>
      <c r="K38" s="429"/>
      <c r="L38" s="429"/>
      <c r="M38" s="515"/>
      <c r="N38" s="516"/>
      <c r="O38" s="516"/>
    </row>
    <row r="39" spans="2:15" ht="15.75" hidden="1">
      <c r="B39" s="469">
        <v>44561</v>
      </c>
      <c r="C39" s="470">
        <f t="shared" si="1"/>
        <v>0.0589</v>
      </c>
      <c r="D39" s="471">
        <f t="shared" si="2"/>
        <v>0.0085</v>
      </c>
      <c r="E39" s="472">
        <f t="shared" si="0"/>
        <v>0.0674</v>
      </c>
      <c r="F39" s="473"/>
      <c r="G39" s="474"/>
      <c r="H39" s="473">
        <f t="shared" si="3"/>
        <v>0</v>
      </c>
      <c r="I39" s="475">
        <v>1</v>
      </c>
      <c r="J39" s="476">
        <f t="shared" si="4"/>
        <v>0</v>
      </c>
      <c r="K39" s="409"/>
      <c r="L39" s="439"/>
      <c r="M39" s="515"/>
      <c r="N39" s="516"/>
      <c r="O39" s="516"/>
    </row>
    <row r="40" spans="2:15" ht="15.75">
      <c r="B40" s="479">
        <v>44592</v>
      </c>
      <c r="C40" s="421">
        <f t="shared" si="1"/>
        <v>0.0589</v>
      </c>
      <c r="D40" s="422">
        <f t="shared" si="2"/>
        <v>0.0085</v>
      </c>
      <c r="E40" s="423">
        <f t="shared" si="0"/>
        <v>0.0674</v>
      </c>
      <c r="F40" s="426"/>
      <c r="G40" s="480"/>
      <c r="H40" s="426">
        <f t="shared" si="3"/>
        <v>0</v>
      </c>
      <c r="I40" s="427">
        <v>31</v>
      </c>
      <c r="J40" s="428">
        <f t="shared" si="4"/>
        <v>0</v>
      </c>
      <c r="K40" s="438">
        <f>SUM(J40:J57)</f>
        <v>136271.7834246575</v>
      </c>
      <c r="L40" s="439" t="s">
        <v>196</v>
      </c>
      <c r="M40" s="515"/>
      <c r="N40" s="516"/>
      <c r="O40" s="516"/>
    </row>
    <row r="41" spans="2:15" ht="15.75">
      <c r="B41" s="481">
        <v>44620</v>
      </c>
      <c r="C41" s="482">
        <f t="shared" si="1"/>
        <v>0.0589</v>
      </c>
      <c r="D41" s="483">
        <f t="shared" si="2"/>
        <v>0.0085</v>
      </c>
      <c r="E41" s="484">
        <f t="shared" si="0"/>
        <v>0.0674</v>
      </c>
      <c r="F41" s="485"/>
      <c r="G41" s="486"/>
      <c r="H41" s="485">
        <f t="shared" si="3"/>
        <v>0</v>
      </c>
      <c r="I41" s="487">
        <v>28</v>
      </c>
      <c r="J41" s="488">
        <f t="shared" si="4"/>
        <v>0</v>
      </c>
      <c r="K41" s="457"/>
      <c r="L41" s="457"/>
      <c r="M41" s="515"/>
      <c r="N41" s="516"/>
      <c r="O41" s="516"/>
    </row>
    <row r="42" spans="2:15" ht="15.75">
      <c r="B42" s="481">
        <v>44649</v>
      </c>
      <c r="C42" s="482">
        <f t="shared" si="1"/>
        <v>0.0589</v>
      </c>
      <c r="D42" s="483">
        <f t="shared" si="2"/>
        <v>0.0085</v>
      </c>
      <c r="E42" s="484">
        <f t="shared" si="0"/>
        <v>0.0674</v>
      </c>
      <c r="F42" s="485"/>
      <c r="G42" s="489"/>
      <c r="H42" s="485">
        <f t="shared" si="3"/>
        <v>0</v>
      </c>
      <c r="I42" s="487">
        <v>29</v>
      </c>
      <c r="J42" s="488">
        <f t="shared" si="4"/>
        <v>0</v>
      </c>
      <c r="K42" s="457"/>
      <c r="L42" s="457"/>
      <c r="M42" s="515"/>
      <c r="N42" s="516"/>
      <c r="O42" s="516"/>
    </row>
    <row r="43" spans="2:15" ht="15.75">
      <c r="B43" s="490">
        <v>44650</v>
      </c>
      <c r="C43" s="482">
        <f t="shared" si="1"/>
        <v>0.0589</v>
      </c>
      <c r="D43" s="483">
        <f t="shared" si="2"/>
        <v>0.0085</v>
      </c>
      <c r="E43" s="484">
        <f t="shared" si="0"/>
        <v>0.0674</v>
      </c>
      <c r="F43" s="485"/>
      <c r="G43" s="489"/>
      <c r="H43" s="485">
        <f t="shared" si="3"/>
        <v>0</v>
      </c>
      <c r="I43" s="487">
        <v>1</v>
      </c>
      <c r="J43" s="488">
        <f t="shared" si="4"/>
        <v>0</v>
      </c>
      <c r="K43" s="457"/>
      <c r="L43" s="457"/>
      <c r="M43" s="515"/>
      <c r="N43" s="516"/>
      <c r="O43" s="516"/>
    </row>
    <row r="44" spans="2:15" ht="15.75">
      <c r="B44" s="481">
        <v>44651</v>
      </c>
      <c r="C44" s="482">
        <f t="shared" si="1"/>
        <v>0.0589</v>
      </c>
      <c r="D44" s="483">
        <f t="shared" si="2"/>
        <v>0.0085</v>
      </c>
      <c r="E44" s="484">
        <f t="shared" si="0"/>
        <v>0.0674</v>
      </c>
      <c r="F44" s="485"/>
      <c r="G44" s="486"/>
      <c r="H44" s="485">
        <f t="shared" si="3"/>
        <v>0</v>
      </c>
      <c r="I44" s="487">
        <v>1</v>
      </c>
      <c r="J44" s="488">
        <f t="shared" si="4"/>
        <v>0</v>
      </c>
      <c r="K44" s="457"/>
      <c r="L44" s="457"/>
      <c r="M44" s="515"/>
      <c r="N44" s="536"/>
      <c r="O44" s="536"/>
    </row>
    <row r="45" spans="2:13" ht="15.75">
      <c r="B45" s="481">
        <v>44681</v>
      </c>
      <c r="C45" s="482">
        <f t="shared" si="1"/>
        <v>0.0589</v>
      </c>
      <c r="D45" s="483">
        <f t="shared" si="2"/>
        <v>0.0085</v>
      </c>
      <c r="E45" s="484">
        <f t="shared" si="0"/>
        <v>0.0674</v>
      </c>
      <c r="F45" s="485"/>
      <c r="G45" s="486"/>
      <c r="H45" s="485">
        <f t="shared" si="3"/>
        <v>0</v>
      </c>
      <c r="I45" s="487">
        <v>30</v>
      </c>
      <c r="J45" s="488">
        <f t="shared" si="4"/>
        <v>0</v>
      </c>
      <c r="K45" s="457"/>
      <c r="L45" s="457"/>
      <c r="M45" s="457"/>
    </row>
    <row r="46" spans="2:13" ht="15.75">
      <c r="B46" s="491">
        <v>44712</v>
      </c>
      <c r="C46" s="482">
        <f t="shared" si="1"/>
        <v>0.0589</v>
      </c>
      <c r="D46" s="483">
        <f t="shared" si="2"/>
        <v>0.0085</v>
      </c>
      <c r="E46" s="484">
        <f t="shared" si="0"/>
        <v>0.0674</v>
      </c>
      <c r="F46" s="498"/>
      <c r="G46" s="486"/>
      <c r="H46" s="485">
        <v>0</v>
      </c>
      <c r="I46" s="487">
        <v>31</v>
      </c>
      <c r="J46" s="488"/>
      <c r="K46" s="457"/>
      <c r="L46" s="457"/>
      <c r="M46" s="457"/>
    </row>
    <row r="47" spans="2:13" ht="15.75">
      <c r="B47" s="491">
        <v>44741</v>
      </c>
      <c r="C47" s="482">
        <f t="shared" si="1"/>
        <v>0.0589</v>
      </c>
      <c r="D47" s="483">
        <f t="shared" si="2"/>
        <v>0.0085</v>
      </c>
      <c r="E47" s="484">
        <f t="shared" si="0"/>
        <v>0.0674</v>
      </c>
      <c r="F47" s="492">
        <v>3500000</v>
      </c>
      <c r="G47" s="489"/>
      <c r="H47" s="485">
        <v>3500000</v>
      </c>
      <c r="I47" s="493">
        <v>29</v>
      </c>
      <c r="J47" s="488">
        <v>16706.03</v>
      </c>
      <c r="K47" s="460"/>
      <c r="L47" s="460"/>
      <c r="M47" s="460"/>
    </row>
    <row r="48" spans="2:13" ht="15.75">
      <c r="B48" s="490">
        <v>44742</v>
      </c>
      <c r="C48" s="482">
        <f t="shared" si="1"/>
        <v>0.0589</v>
      </c>
      <c r="D48" s="483">
        <f t="shared" si="2"/>
        <v>0.0085</v>
      </c>
      <c r="E48" s="484">
        <f t="shared" si="0"/>
        <v>0.0674</v>
      </c>
      <c r="F48" s="485"/>
      <c r="G48" s="489"/>
      <c r="H48" s="485">
        <f aca="true" t="shared" si="5" ref="H48:H111">H47-G48</f>
        <v>3500000</v>
      </c>
      <c r="I48" s="487">
        <v>1</v>
      </c>
      <c r="J48" s="488">
        <f aca="true" t="shared" si="6" ref="J48:J75">H48*E48*I48/365</f>
        <v>646.3013698630137</v>
      </c>
      <c r="K48" s="439"/>
      <c r="L48" s="439"/>
      <c r="M48" s="439"/>
    </row>
    <row r="49" spans="2:13" ht="15.75">
      <c r="B49" s="481">
        <v>44773</v>
      </c>
      <c r="C49" s="482">
        <f t="shared" si="1"/>
        <v>0.0589</v>
      </c>
      <c r="D49" s="483">
        <f t="shared" si="2"/>
        <v>0.0085</v>
      </c>
      <c r="E49" s="484">
        <f t="shared" si="0"/>
        <v>0.0674</v>
      </c>
      <c r="F49" s="485"/>
      <c r="G49" s="486"/>
      <c r="H49" s="485">
        <f t="shared" si="5"/>
        <v>3500000</v>
      </c>
      <c r="I49" s="487">
        <v>31</v>
      </c>
      <c r="J49" s="488">
        <f t="shared" si="6"/>
        <v>20035.342465753423</v>
      </c>
      <c r="K49" s="439"/>
      <c r="L49" s="439"/>
      <c r="M49" s="439"/>
    </row>
    <row r="50" spans="2:13" ht="15.75">
      <c r="B50" s="481">
        <v>44804</v>
      </c>
      <c r="C50" s="482">
        <f t="shared" si="1"/>
        <v>0.0589</v>
      </c>
      <c r="D50" s="483">
        <f t="shared" si="2"/>
        <v>0.0085</v>
      </c>
      <c r="E50" s="484">
        <f t="shared" si="0"/>
        <v>0.0674</v>
      </c>
      <c r="F50" s="485"/>
      <c r="G50" s="489"/>
      <c r="H50" s="485">
        <f t="shared" si="5"/>
        <v>3500000</v>
      </c>
      <c r="I50" s="493">
        <v>31</v>
      </c>
      <c r="J50" s="488">
        <f t="shared" si="6"/>
        <v>20035.342465753423</v>
      </c>
      <c r="K50" s="439"/>
      <c r="L50" s="439"/>
      <c r="M50" s="439"/>
    </row>
    <row r="51" spans="2:13" ht="15.75">
      <c r="B51" s="481">
        <v>44833</v>
      </c>
      <c r="C51" s="482">
        <f t="shared" si="1"/>
        <v>0.0589</v>
      </c>
      <c r="D51" s="483">
        <f t="shared" si="2"/>
        <v>0.0085</v>
      </c>
      <c r="E51" s="484">
        <f t="shared" si="0"/>
        <v>0.0674</v>
      </c>
      <c r="F51" s="485"/>
      <c r="G51" s="486"/>
      <c r="H51" s="485">
        <f t="shared" si="5"/>
        <v>3500000</v>
      </c>
      <c r="I51" s="487">
        <v>29</v>
      </c>
      <c r="J51" s="488">
        <f t="shared" si="6"/>
        <v>18742.739726027397</v>
      </c>
      <c r="K51" s="439"/>
      <c r="L51" s="439"/>
      <c r="M51" s="439"/>
    </row>
    <row r="52" spans="2:13" ht="15.75">
      <c r="B52" s="490">
        <v>44834</v>
      </c>
      <c r="C52" s="482">
        <f t="shared" si="1"/>
        <v>0.0589</v>
      </c>
      <c r="D52" s="483">
        <f t="shared" si="2"/>
        <v>0.0085</v>
      </c>
      <c r="E52" s="484">
        <f t="shared" si="0"/>
        <v>0.0674</v>
      </c>
      <c r="F52" s="485"/>
      <c r="G52" s="489"/>
      <c r="H52" s="485">
        <f t="shared" si="5"/>
        <v>3500000</v>
      </c>
      <c r="I52" s="487">
        <v>1</v>
      </c>
      <c r="J52" s="488">
        <f t="shared" si="6"/>
        <v>646.3013698630137</v>
      </c>
      <c r="K52" s="439"/>
      <c r="L52" s="439"/>
      <c r="M52" s="439"/>
    </row>
    <row r="53" spans="2:13" ht="15.75">
      <c r="B53" s="491">
        <v>44865</v>
      </c>
      <c r="C53" s="482">
        <f t="shared" si="1"/>
        <v>0.0589</v>
      </c>
      <c r="D53" s="483">
        <f t="shared" si="2"/>
        <v>0.0085</v>
      </c>
      <c r="E53" s="484">
        <f t="shared" si="0"/>
        <v>0.0674</v>
      </c>
      <c r="F53" s="492"/>
      <c r="G53" s="489"/>
      <c r="H53" s="485">
        <f t="shared" si="5"/>
        <v>3500000</v>
      </c>
      <c r="I53" s="493">
        <v>31</v>
      </c>
      <c r="J53" s="488">
        <f t="shared" si="6"/>
        <v>20035.342465753423</v>
      </c>
      <c r="K53" s="460"/>
      <c r="L53" s="460"/>
      <c r="M53" s="460"/>
    </row>
    <row r="54" spans="2:15" ht="15.75">
      <c r="B54" s="494">
        <v>44895</v>
      </c>
      <c r="C54" s="482">
        <f t="shared" si="1"/>
        <v>0.0589</v>
      </c>
      <c r="D54" s="483">
        <f t="shared" si="2"/>
        <v>0.0085</v>
      </c>
      <c r="E54" s="484">
        <f t="shared" si="0"/>
        <v>0.0674</v>
      </c>
      <c r="F54" s="495"/>
      <c r="G54" s="496"/>
      <c r="H54" s="485">
        <f t="shared" si="5"/>
        <v>3500000</v>
      </c>
      <c r="I54" s="497">
        <v>30</v>
      </c>
      <c r="J54" s="488">
        <f t="shared" si="6"/>
        <v>19389.04109589041</v>
      </c>
      <c r="K54" s="429"/>
      <c r="L54" s="429"/>
      <c r="M54" s="477" t="s">
        <v>109</v>
      </c>
      <c r="N54" s="478" t="s">
        <v>110</v>
      </c>
      <c r="O54" s="478" t="s">
        <v>191</v>
      </c>
    </row>
    <row r="55" spans="2:15" ht="15.75">
      <c r="B55" s="494">
        <v>44924</v>
      </c>
      <c r="C55" s="482">
        <f t="shared" si="1"/>
        <v>0.0589</v>
      </c>
      <c r="D55" s="483">
        <f t="shared" si="2"/>
        <v>0.0085</v>
      </c>
      <c r="E55" s="484">
        <f t="shared" si="0"/>
        <v>0.0674</v>
      </c>
      <c r="F55" s="498"/>
      <c r="G55" s="499"/>
      <c r="H55" s="485">
        <f t="shared" si="5"/>
        <v>3500000</v>
      </c>
      <c r="I55" s="493">
        <v>29</v>
      </c>
      <c r="J55" s="488">
        <f t="shared" si="6"/>
        <v>18742.739726027397</v>
      </c>
      <c r="K55" s="429"/>
      <c r="L55" s="429"/>
      <c r="M55" s="265">
        <v>2021</v>
      </c>
      <c r="N55" s="266">
        <f>F67</f>
        <v>0</v>
      </c>
      <c r="O55" s="266">
        <v>0</v>
      </c>
    </row>
    <row r="56" spans="2:15" ht="15.75">
      <c r="B56" s="500">
        <v>44925</v>
      </c>
      <c r="C56" s="482">
        <f t="shared" si="1"/>
        <v>0.0589</v>
      </c>
      <c r="D56" s="483">
        <f t="shared" si="2"/>
        <v>0.0085</v>
      </c>
      <c r="E56" s="484">
        <f t="shared" si="0"/>
        <v>0.0674</v>
      </c>
      <c r="F56" s="498"/>
      <c r="G56" s="489"/>
      <c r="H56" s="485">
        <f t="shared" si="5"/>
        <v>3500000</v>
      </c>
      <c r="I56" s="493">
        <v>1</v>
      </c>
      <c r="J56" s="488">
        <f t="shared" si="6"/>
        <v>646.3013698630137</v>
      </c>
      <c r="K56" s="429"/>
      <c r="L56" s="429"/>
      <c r="M56" s="265">
        <v>2022</v>
      </c>
      <c r="N56" s="266"/>
      <c r="O56" s="266">
        <f>K40</f>
        <v>136271.7834246575</v>
      </c>
    </row>
    <row r="57" spans="2:15" ht="15.75">
      <c r="B57" s="430">
        <v>44926</v>
      </c>
      <c r="C57" s="501">
        <f t="shared" si="1"/>
        <v>0.0589</v>
      </c>
      <c r="D57" s="502">
        <f t="shared" si="2"/>
        <v>0.0085</v>
      </c>
      <c r="E57" s="503">
        <f t="shared" si="0"/>
        <v>0.0674</v>
      </c>
      <c r="F57" s="434"/>
      <c r="G57" s="435"/>
      <c r="H57" s="485">
        <f t="shared" si="5"/>
        <v>3500000</v>
      </c>
      <c r="I57" s="436">
        <v>1</v>
      </c>
      <c r="J57" s="505">
        <f t="shared" si="6"/>
        <v>646.3013698630137</v>
      </c>
      <c r="K57" s="429"/>
      <c r="L57" s="429"/>
      <c r="M57" s="265">
        <v>2023</v>
      </c>
      <c r="N57" s="266">
        <f>G61</f>
        <v>1500000</v>
      </c>
      <c r="O57" s="266">
        <f>K58</f>
        <v>181085.48657534248</v>
      </c>
    </row>
    <row r="58" spans="2:15" ht="15.75">
      <c r="B58" s="440">
        <v>44957</v>
      </c>
      <c r="C58" s="441">
        <f t="shared" si="1"/>
        <v>0.0589</v>
      </c>
      <c r="D58" s="442">
        <f t="shared" si="2"/>
        <v>0.0085</v>
      </c>
      <c r="E58" s="443">
        <f t="shared" si="0"/>
        <v>0.0674</v>
      </c>
      <c r="F58" s="444"/>
      <c r="G58" s="506"/>
      <c r="H58" s="485">
        <f t="shared" si="5"/>
        <v>3500000</v>
      </c>
      <c r="I58" s="446">
        <v>31</v>
      </c>
      <c r="J58" s="785">
        <v>23430.82</v>
      </c>
      <c r="K58" s="507">
        <f>SUM(J58:J75)</f>
        <v>181085.48657534248</v>
      </c>
      <c r="L58" s="439"/>
      <c r="M58" s="265">
        <v>2024</v>
      </c>
      <c r="N58" s="266">
        <f>G79</f>
        <v>200000</v>
      </c>
      <c r="O58" s="266">
        <f>K76</f>
        <v>124597.9234972678</v>
      </c>
    </row>
    <row r="59" spans="2:15" ht="15.75">
      <c r="B59" s="448">
        <v>44985</v>
      </c>
      <c r="C59" s="449">
        <f t="shared" si="1"/>
        <v>0.0589</v>
      </c>
      <c r="D59" s="450">
        <f t="shared" si="2"/>
        <v>0.0085</v>
      </c>
      <c r="E59" s="451">
        <f t="shared" si="0"/>
        <v>0.0674</v>
      </c>
      <c r="F59" s="452"/>
      <c r="G59" s="459"/>
      <c r="H59" s="485">
        <f t="shared" si="5"/>
        <v>3500000</v>
      </c>
      <c r="I59" s="454">
        <v>28</v>
      </c>
      <c r="J59" s="786">
        <v>21885.07</v>
      </c>
      <c r="K59" s="438"/>
      <c r="L59" s="439"/>
      <c r="M59" s="265">
        <v>2025</v>
      </c>
      <c r="N59" s="266">
        <f>G97</f>
        <v>200000</v>
      </c>
      <c r="O59" s="266">
        <f>K94</f>
        <v>111089.9726027397</v>
      </c>
    </row>
    <row r="60" spans="2:15" ht="15.75">
      <c r="B60" s="448">
        <v>45014</v>
      </c>
      <c r="C60" s="449">
        <f t="shared" si="1"/>
        <v>0.0589</v>
      </c>
      <c r="D60" s="450">
        <f t="shared" si="2"/>
        <v>0.0085</v>
      </c>
      <c r="E60" s="451">
        <f t="shared" si="0"/>
        <v>0.0674</v>
      </c>
      <c r="F60" s="452"/>
      <c r="G60" s="459"/>
      <c r="H60" s="485">
        <f t="shared" si="5"/>
        <v>3500000</v>
      </c>
      <c r="I60" s="454">
        <v>29</v>
      </c>
      <c r="J60" s="786">
        <v>22639.73</v>
      </c>
      <c r="K60" s="439"/>
      <c r="L60" s="439"/>
      <c r="M60" s="265">
        <v>2026</v>
      </c>
      <c r="N60" s="266">
        <f>G115</f>
        <v>200000</v>
      </c>
      <c r="O60" s="266">
        <f>K112</f>
        <v>97609.97260273974</v>
      </c>
    </row>
    <row r="61" spans="2:15" ht="15.75">
      <c r="B61" s="458">
        <v>45015</v>
      </c>
      <c r="C61" s="449">
        <f t="shared" si="1"/>
        <v>0.0589</v>
      </c>
      <c r="D61" s="450">
        <f t="shared" si="2"/>
        <v>0.0085</v>
      </c>
      <c r="E61" s="451">
        <f t="shared" si="0"/>
        <v>0.0674</v>
      </c>
      <c r="F61" s="452"/>
      <c r="G61" s="459">
        <v>1500000</v>
      </c>
      <c r="H61" s="485">
        <f t="shared" si="5"/>
        <v>2000000</v>
      </c>
      <c r="I61" s="454">
        <v>1</v>
      </c>
      <c r="J61" s="455">
        <f t="shared" si="6"/>
        <v>369.3150684931507</v>
      </c>
      <c r="K61" s="439"/>
      <c r="L61" s="439"/>
      <c r="M61" s="265">
        <v>2027</v>
      </c>
      <c r="N61" s="266">
        <f>G133</f>
        <v>200000</v>
      </c>
      <c r="O61" s="266">
        <f>K130</f>
        <v>84129.97260273974</v>
      </c>
    </row>
    <row r="62" spans="2:15" ht="15.75">
      <c r="B62" s="448">
        <v>45016</v>
      </c>
      <c r="C62" s="449">
        <f t="shared" si="1"/>
        <v>0.0589</v>
      </c>
      <c r="D62" s="450">
        <f t="shared" si="2"/>
        <v>0.0085</v>
      </c>
      <c r="E62" s="451">
        <f t="shared" si="0"/>
        <v>0.0674</v>
      </c>
      <c r="F62" s="452"/>
      <c r="G62" s="459"/>
      <c r="H62" s="452">
        <f t="shared" si="5"/>
        <v>2000000</v>
      </c>
      <c r="I62" s="454">
        <v>1</v>
      </c>
      <c r="J62" s="455">
        <f t="shared" si="6"/>
        <v>369.3150684931507</v>
      </c>
      <c r="K62" s="439"/>
      <c r="L62" s="439"/>
      <c r="M62" s="265">
        <v>2028</v>
      </c>
      <c r="N62" s="266">
        <f>G151</f>
        <v>200000</v>
      </c>
      <c r="O62" s="266">
        <f>K148</f>
        <v>70871.56164383562</v>
      </c>
    </row>
    <row r="63" spans="2:15" ht="15.75">
      <c r="B63" s="448">
        <v>45046</v>
      </c>
      <c r="C63" s="449">
        <f t="shared" si="1"/>
        <v>0.0589</v>
      </c>
      <c r="D63" s="450">
        <f t="shared" si="2"/>
        <v>0.0085</v>
      </c>
      <c r="E63" s="451">
        <f t="shared" si="0"/>
        <v>0.0674</v>
      </c>
      <c r="F63" s="452"/>
      <c r="G63" s="459"/>
      <c r="H63" s="452">
        <f t="shared" si="5"/>
        <v>2000000</v>
      </c>
      <c r="I63" s="454">
        <v>30</v>
      </c>
      <c r="J63" s="786">
        <v>12313.42</v>
      </c>
      <c r="K63" s="439"/>
      <c r="L63" s="439"/>
      <c r="M63" s="265">
        <v>2029</v>
      </c>
      <c r="N63" s="266">
        <f>G169+G178</f>
        <v>200000</v>
      </c>
      <c r="O63" s="266">
        <f>K166</f>
        <v>57169.97260273971</v>
      </c>
    </row>
    <row r="64" spans="2:15" ht="15.75">
      <c r="B64" s="461">
        <v>45077</v>
      </c>
      <c r="C64" s="449">
        <f t="shared" si="1"/>
        <v>0.0589</v>
      </c>
      <c r="D64" s="450">
        <f t="shared" si="2"/>
        <v>0.0085</v>
      </c>
      <c r="E64" s="451">
        <f t="shared" si="0"/>
        <v>0.0674</v>
      </c>
      <c r="F64" s="462"/>
      <c r="G64" s="459"/>
      <c r="H64" s="452">
        <f t="shared" si="5"/>
        <v>2000000</v>
      </c>
      <c r="I64" s="454">
        <v>31</v>
      </c>
      <c r="J64" s="786">
        <v>13571.51</v>
      </c>
      <c r="K64" s="460"/>
      <c r="L64" s="460"/>
      <c r="M64" s="265">
        <v>2030</v>
      </c>
      <c r="N64" s="266">
        <f>G187+G196</f>
        <v>200000</v>
      </c>
      <c r="O64" s="266">
        <f>K184</f>
        <v>43689.97260273973</v>
      </c>
    </row>
    <row r="65" spans="2:15" ht="15.75">
      <c r="B65" s="461">
        <v>45106</v>
      </c>
      <c r="C65" s="449">
        <f t="shared" si="1"/>
        <v>0.0589</v>
      </c>
      <c r="D65" s="450">
        <f t="shared" si="2"/>
        <v>0.0085</v>
      </c>
      <c r="E65" s="451">
        <f t="shared" si="0"/>
        <v>0.0674</v>
      </c>
      <c r="F65" s="452"/>
      <c r="G65" s="459"/>
      <c r="H65" s="452">
        <f t="shared" si="5"/>
        <v>2000000</v>
      </c>
      <c r="I65" s="508">
        <v>29</v>
      </c>
      <c r="J65" s="786">
        <v>13147.4</v>
      </c>
      <c r="K65" s="439"/>
      <c r="L65" s="439"/>
      <c r="M65" s="265">
        <v>2031</v>
      </c>
      <c r="N65" s="266">
        <f>G205+G214</f>
        <v>200000</v>
      </c>
      <c r="O65" s="266">
        <f>K202</f>
        <v>30209.97260273972</v>
      </c>
    </row>
    <row r="66" spans="2:15" ht="15.75">
      <c r="B66" s="458">
        <v>45107</v>
      </c>
      <c r="C66" s="449">
        <f t="shared" si="1"/>
        <v>0.0589</v>
      </c>
      <c r="D66" s="450">
        <f t="shared" si="2"/>
        <v>0.0085</v>
      </c>
      <c r="E66" s="451">
        <f t="shared" si="0"/>
        <v>0.0674</v>
      </c>
      <c r="F66" s="452"/>
      <c r="G66" s="459"/>
      <c r="H66" s="452">
        <f t="shared" si="5"/>
        <v>2000000</v>
      </c>
      <c r="I66" s="454">
        <v>1</v>
      </c>
      <c r="J66" s="455">
        <f t="shared" si="6"/>
        <v>369.3150684931507</v>
      </c>
      <c r="K66" s="439"/>
      <c r="L66" s="439"/>
      <c r="M66" s="265">
        <v>2032</v>
      </c>
      <c r="N66" s="266">
        <f>G223+G232</f>
        <v>200000</v>
      </c>
      <c r="O66" s="266">
        <f>K220</f>
        <v>16803.835616438355</v>
      </c>
    </row>
    <row r="67" spans="2:15" ht="15.75">
      <c r="B67" s="448">
        <v>45138</v>
      </c>
      <c r="C67" s="449">
        <f t="shared" si="1"/>
        <v>0.0589</v>
      </c>
      <c r="D67" s="450">
        <f t="shared" si="2"/>
        <v>0.0085</v>
      </c>
      <c r="E67" s="451">
        <f t="shared" si="0"/>
        <v>0.0674</v>
      </c>
      <c r="F67" s="452"/>
      <c r="G67" s="459"/>
      <c r="H67" s="452">
        <f t="shared" si="5"/>
        <v>2000000</v>
      </c>
      <c r="I67" s="454">
        <v>31</v>
      </c>
      <c r="J67" s="786">
        <v>11889.86</v>
      </c>
      <c r="K67" s="439"/>
      <c r="L67" s="439"/>
      <c r="M67" s="265">
        <v>2033</v>
      </c>
      <c r="N67" s="266">
        <f>G241+G250</f>
        <v>200000</v>
      </c>
      <c r="O67" s="266">
        <f>K238</f>
        <v>3249.9726027397255</v>
      </c>
    </row>
    <row r="68" spans="2:15" ht="15.75">
      <c r="B68" s="448">
        <v>45169</v>
      </c>
      <c r="C68" s="449">
        <f t="shared" si="1"/>
        <v>0.0589</v>
      </c>
      <c r="D68" s="450">
        <f t="shared" si="2"/>
        <v>0.0085</v>
      </c>
      <c r="E68" s="451">
        <f t="shared" si="0"/>
        <v>0.0674</v>
      </c>
      <c r="F68" s="452"/>
      <c r="G68" s="459"/>
      <c r="H68" s="452">
        <f t="shared" si="5"/>
        <v>2000000</v>
      </c>
      <c r="I68" s="508">
        <v>31</v>
      </c>
      <c r="J68" s="786">
        <v>14013.7</v>
      </c>
      <c r="K68" s="439"/>
      <c r="L68" s="439"/>
      <c r="M68" s="265">
        <v>2034</v>
      </c>
      <c r="N68" s="266">
        <f>G259+G268</f>
        <v>0</v>
      </c>
      <c r="O68" s="266">
        <f>K256</f>
        <v>0</v>
      </c>
    </row>
    <row r="69" spans="2:15" ht="15.75">
      <c r="B69" s="448">
        <v>45198</v>
      </c>
      <c r="C69" s="449">
        <f t="shared" si="1"/>
        <v>0.0589</v>
      </c>
      <c r="D69" s="450">
        <f t="shared" si="2"/>
        <v>0.0085</v>
      </c>
      <c r="E69" s="451">
        <f t="shared" si="0"/>
        <v>0.0674</v>
      </c>
      <c r="F69" s="452"/>
      <c r="G69" s="459"/>
      <c r="H69" s="452">
        <f t="shared" si="5"/>
        <v>2000000</v>
      </c>
      <c r="I69" s="454">
        <v>29</v>
      </c>
      <c r="J69" s="786">
        <v>12739.73</v>
      </c>
      <c r="K69" s="439"/>
      <c r="L69" s="439"/>
      <c r="M69" s="265">
        <v>2035</v>
      </c>
      <c r="N69" s="266">
        <f>G277+G286</f>
        <v>0</v>
      </c>
      <c r="O69" s="266">
        <f>K274</f>
        <v>0</v>
      </c>
    </row>
    <row r="70" spans="2:15" ht="15.75">
      <c r="B70" s="458">
        <v>45199</v>
      </c>
      <c r="C70" s="449">
        <f t="shared" si="1"/>
        <v>0.0589</v>
      </c>
      <c r="D70" s="450">
        <f t="shared" si="2"/>
        <v>0.0085</v>
      </c>
      <c r="E70" s="451">
        <f t="shared" si="0"/>
        <v>0.0674</v>
      </c>
      <c r="F70" s="462"/>
      <c r="G70" s="459"/>
      <c r="H70" s="452">
        <f t="shared" si="5"/>
        <v>2000000</v>
      </c>
      <c r="I70" s="454">
        <v>1</v>
      </c>
      <c r="J70" s="455">
        <f t="shared" si="6"/>
        <v>369.3150684931507</v>
      </c>
      <c r="K70" s="460"/>
      <c r="L70" s="460"/>
      <c r="M70" s="265">
        <v>2036</v>
      </c>
      <c r="N70" s="266">
        <f>G295+G304</f>
        <v>0</v>
      </c>
      <c r="O70" s="266">
        <f>K292</f>
        <v>0</v>
      </c>
    </row>
    <row r="71" spans="2:15" ht="15.75">
      <c r="B71" s="461">
        <v>45230</v>
      </c>
      <c r="C71" s="449">
        <f t="shared" si="1"/>
        <v>0.0589</v>
      </c>
      <c r="D71" s="450">
        <f t="shared" si="2"/>
        <v>0.0085</v>
      </c>
      <c r="E71" s="451">
        <f t="shared" si="0"/>
        <v>0.0674</v>
      </c>
      <c r="F71" s="511"/>
      <c r="G71" s="512"/>
      <c r="H71" s="452">
        <f t="shared" si="5"/>
        <v>2000000</v>
      </c>
      <c r="I71" s="508">
        <v>31</v>
      </c>
      <c r="J71" s="455">
        <f t="shared" si="6"/>
        <v>11448.767123287671</v>
      </c>
      <c r="K71" s="439"/>
      <c r="L71" s="439"/>
      <c r="M71" s="265">
        <v>2037</v>
      </c>
      <c r="N71" s="266">
        <f>G313+G322</f>
        <v>0</v>
      </c>
      <c r="O71" s="266">
        <f>K310</f>
        <v>0</v>
      </c>
    </row>
    <row r="72" spans="2:15" ht="15.75">
      <c r="B72" s="463">
        <v>45260</v>
      </c>
      <c r="C72" s="449">
        <f t="shared" si="1"/>
        <v>0.0589</v>
      </c>
      <c r="D72" s="450">
        <f t="shared" si="2"/>
        <v>0.0085</v>
      </c>
      <c r="E72" s="451">
        <f t="shared" si="0"/>
        <v>0.0674</v>
      </c>
      <c r="F72" s="452"/>
      <c r="G72" s="459"/>
      <c r="H72" s="452">
        <f t="shared" si="5"/>
        <v>2000000</v>
      </c>
      <c r="I72" s="514">
        <v>30</v>
      </c>
      <c r="J72" s="455">
        <f t="shared" si="6"/>
        <v>11079.452054794521</v>
      </c>
      <c r="K72" s="439"/>
      <c r="L72" s="439"/>
      <c r="M72" s="265">
        <v>2038</v>
      </c>
      <c r="N72" s="266">
        <f>G331+G336+G340+G344</f>
        <v>0</v>
      </c>
      <c r="O72" s="266">
        <f>K328</f>
        <v>0</v>
      </c>
    </row>
    <row r="73" spans="2:15" ht="15.75">
      <c r="B73" s="463">
        <v>45289</v>
      </c>
      <c r="C73" s="449">
        <f t="shared" si="1"/>
        <v>0.0589</v>
      </c>
      <c r="D73" s="450">
        <f t="shared" si="2"/>
        <v>0.0085</v>
      </c>
      <c r="E73" s="451">
        <f t="shared" si="0"/>
        <v>0.0674</v>
      </c>
      <c r="F73" s="452"/>
      <c r="G73" s="459"/>
      <c r="H73" s="452">
        <f t="shared" si="5"/>
        <v>2000000</v>
      </c>
      <c r="I73" s="508">
        <v>29</v>
      </c>
      <c r="J73" s="455">
        <f t="shared" si="6"/>
        <v>10710.13698630137</v>
      </c>
      <c r="K73" s="438"/>
      <c r="L73" s="439"/>
      <c r="M73" s="265">
        <v>2039</v>
      </c>
      <c r="N73" s="266"/>
      <c r="O73" s="266">
        <f>K346</f>
        <v>0</v>
      </c>
    </row>
    <row r="74" spans="2:15" ht="15.75">
      <c r="B74" s="468">
        <v>45290</v>
      </c>
      <c r="C74" s="449">
        <f t="shared" si="1"/>
        <v>0.0589</v>
      </c>
      <c r="D74" s="450">
        <f t="shared" si="2"/>
        <v>0.0085</v>
      </c>
      <c r="E74" s="451">
        <f t="shared" si="0"/>
        <v>0.0674</v>
      </c>
      <c r="F74" s="452"/>
      <c r="G74" s="459"/>
      <c r="H74" s="452">
        <f t="shared" si="5"/>
        <v>2000000</v>
      </c>
      <c r="I74" s="508">
        <v>1</v>
      </c>
      <c r="J74" s="455">
        <f t="shared" si="6"/>
        <v>369.3150684931507</v>
      </c>
      <c r="K74" s="439"/>
      <c r="L74" s="439"/>
      <c r="M74" s="265">
        <v>2040</v>
      </c>
      <c r="N74" s="266"/>
      <c r="O74" s="266">
        <f>K364</f>
        <v>0</v>
      </c>
    </row>
    <row r="75" spans="2:15" ht="15.75">
      <c r="B75" s="517">
        <v>45291</v>
      </c>
      <c r="C75" s="518">
        <f t="shared" si="1"/>
        <v>0.0589</v>
      </c>
      <c r="D75" s="519">
        <f t="shared" si="2"/>
        <v>0.0085</v>
      </c>
      <c r="E75" s="520">
        <f t="shared" si="0"/>
        <v>0.0674</v>
      </c>
      <c r="F75" s="521"/>
      <c r="G75" s="522"/>
      <c r="H75" s="521">
        <f t="shared" si="5"/>
        <v>2000000</v>
      </c>
      <c r="I75" s="523">
        <v>1</v>
      </c>
      <c r="J75" s="524">
        <f t="shared" si="6"/>
        <v>369.3150684931507</v>
      </c>
      <c r="K75" s="439"/>
      <c r="L75" s="439"/>
      <c r="M75" s="265">
        <v>2041</v>
      </c>
      <c r="N75" s="266"/>
      <c r="O75" s="266">
        <f>K382</f>
        <v>0</v>
      </c>
    </row>
    <row r="76" spans="2:15" ht="15.75">
      <c r="B76" s="525">
        <v>45322</v>
      </c>
      <c r="C76" s="526">
        <f t="shared" si="1"/>
        <v>0.0589</v>
      </c>
      <c r="D76" s="422">
        <f t="shared" si="2"/>
        <v>0.0085</v>
      </c>
      <c r="E76" s="423">
        <f t="shared" si="0"/>
        <v>0.0674</v>
      </c>
      <c r="F76" s="426"/>
      <c r="G76" s="425"/>
      <c r="H76" s="426">
        <f t="shared" si="5"/>
        <v>2000000</v>
      </c>
      <c r="I76" s="427">
        <v>31</v>
      </c>
      <c r="J76" s="428">
        <f aca="true" t="shared" si="7" ref="J76:J93">H76*E76*I76/366</f>
        <v>11417.486338797815</v>
      </c>
      <c r="K76" s="438">
        <f>SUM(J76:J93)</f>
        <v>124597.9234972678</v>
      </c>
      <c r="L76" s="439" t="s">
        <v>197</v>
      </c>
      <c r="M76" s="265" t="s">
        <v>42</v>
      </c>
      <c r="N76" s="306">
        <f>SUM(N55:N75)</f>
        <v>3500000</v>
      </c>
      <c r="O76" s="306">
        <f>SUM(O57:O75)</f>
        <v>820508.6155520622</v>
      </c>
    </row>
    <row r="77" spans="2:13" ht="15.75">
      <c r="B77" s="527">
        <v>45351</v>
      </c>
      <c r="C77" s="528">
        <f t="shared" si="1"/>
        <v>0.0589</v>
      </c>
      <c r="D77" s="483">
        <f t="shared" si="2"/>
        <v>0.0085</v>
      </c>
      <c r="E77" s="484">
        <f t="shared" si="0"/>
        <v>0.0674</v>
      </c>
      <c r="F77" s="485"/>
      <c r="G77" s="489"/>
      <c r="H77" s="485">
        <f t="shared" si="5"/>
        <v>2000000</v>
      </c>
      <c r="I77" s="487">
        <v>29</v>
      </c>
      <c r="J77" s="488">
        <f t="shared" si="7"/>
        <v>10680.874316939891</v>
      </c>
      <c r="K77" s="439"/>
      <c r="L77" s="439"/>
      <c r="M77" s="439"/>
    </row>
    <row r="78" spans="2:13" ht="15.75">
      <c r="B78" s="527">
        <v>45380</v>
      </c>
      <c r="C78" s="528">
        <f t="shared" si="1"/>
        <v>0.0589</v>
      </c>
      <c r="D78" s="483">
        <f t="shared" si="2"/>
        <v>0.0085</v>
      </c>
      <c r="E78" s="484">
        <f t="shared" si="0"/>
        <v>0.0674</v>
      </c>
      <c r="F78" s="492"/>
      <c r="G78" s="489"/>
      <c r="H78" s="485">
        <f t="shared" si="5"/>
        <v>2000000</v>
      </c>
      <c r="I78" s="487">
        <v>29</v>
      </c>
      <c r="J78" s="488">
        <f t="shared" si="7"/>
        <v>10680.874316939891</v>
      </c>
      <c r="K78" s="460"/>
      <c r="L78" s="460"/>
      <c r="M78" s="460"/>
    </row>
    <row r="79" spans="2:13" ht="15.75">
      <c r="B79" s="529">
        <v>45381</v>
      </c>
      <c r="C79" s="528">
        <f t="shared" si="1"/>
        <v>0.0589</v>
      </c>
      <c r="D79" s="483">
        <f t="shared" si="2"/>
        <v>0.0085</v>
      </c>
      <c r="E79" s="484">
        <f t="shared" si="0"/>
        <v>0.0674</v>
      </c>
      <c r="F79" s="485"/>
      <c r="G79" s="489">
        <v>200000</v>
      </c>
      <c r="H79" s="485">
        <f t="shared" si="5"/>
        <v>1800000</v>
      </c>
      <c r="I79" s="487">
        <v>1</v>
      </c>
      <c r="J79" s="488">
        <f t="shared" si="7"/>
        <v>331.4754098360656</v>
      </c>
      <c r="K79" s="439"/>
      <c r="L79" s="439"/>
      <c r="M79" s="439"/>
    </row>
    <row r="80" spans="2:13" ht="15.75">
      <c r="B80" s="527">
        <v>45382</v>
      </c>
      <c r="C80" s="528">
        <f t="shared" si="1"/>
        <v>0.0589</v>
      </c>
      <c r="D80" s="483">
        <f t="shared" si="2"/>
        <v>0.0085</v>
      </c>
      <c r="E80" s="484">
        <f t="shared" si="0"/>
        <v>0.0674</v>
      </c>
      <c r="F80" s="485"/>
      <c r="G80" s="489"/>
      <c r="H80" s="485">
        <f t="shared" si="5"/>
        <v>1800000</v>
      </c>
      <c r="I80" s="487">
        <v>1</v>
      </c>
      <c r="J80" s="488">
        <f t="shared" si="7"/>
        <v>331.4754098360656</v>
      </c>
      <c r="K80" s="439"/>
      <c r="L80" s="439"/>
      <c r="M80" s="439"/>
    </row>
    <row r="81" spans="2:13" ht="15.75">
      <c r="B81" s="527">
        <v>45412</v>
      </c>
      <c r="C81" s="528">
        <f t="shared" si="1"/>
        <v>0.0589</v>
      </c>
      <c r="D81" s="483">
        <f t="shared" si="2"/>
        <v>0.0085</v>
      </c>
      <c r="E81" s="484">
        <f t="shared" si="0"/>
        <v>0.0674</v>
      </c>
      <c r="F81" s="485"/>
      <c r="G81" s="489"/>
      <c r="H81" s="485">
        <f t="shared" si="5"/>
        <v>1800000</v>
      </c>
      <c r="I81" s="487">
        <v>30</v>
      </c>
      <c r="J81" s="488">
        <f t="shared" si="7"/>
        <v>9944.262295081968</v>
      </c>
      <c r="K81" s="439"/>
      <c r="L81" s="439"/>
      <c r="M81" s="439"/>
    </row>
    <row r="82" spans="2:13" ht="15.75">
      <c r="B82" s="530">
        <v>45443</v>
      </c>
      <c r="C82" s="528">
        <f t="shared" si="1"/>
        <v>0.0589</v>
      </c>
      <c r="D82" s="483">
        <f t="shared" si="2"/>
        <v>0.0085</v>
      </c>
      <c r="E82" s="484">
        <f t="shared" si="0"/>
        <v>0.0674</v>
      </c>
      <c r="F82" s="485"/>
      <c r="G82" s="489"/>
      <c r="H82" s="485">
        <f t="shared" si="5"/>
        <v>1800000</v>
      </c>
      <c r="I82" s="487">
        <v>31</v>
      </c>
      <c r="J82" s="488">
        <f t="shared" si="7"/>
        <v>10275.737704918032</v>
      </c>
      <c r="K82" s="439"/>
      <c r="L82" s="439"/>
      <c r="M82" s="439"/>
    </row>
    <row r="83" spans="2:13" ht="15.75">
      <c r="B83" s="530">
        <v>45472</v>
      </c>
      <c r="C83" s="528">
        <f t="shared" si="1"/>
        <v>0.0589</v>
      </c>
      <c r="D83" s="483">
        <f t="shared" si="2"/>
        <v>0.0085</v>
      </c>
      <c r="E83" s="484">
        <f t="shared" si="0"/>
        <v>0.0674</v>
      </c>
      <c r="F83" s="485"/>
      <c r="G83" s="489"/>
      <c r="H83" s="485">
        <f t="shared" si="5"/>
        <v>1800000</v>
      </c>
      <c r="I83" s="493">
        <v>29</v>
      </c>
      <c r="J83" s="488">
        <f t="shared" si="7"/>
        <v>9612.786885245901</v>
      </c>
      <c r="K83" s="439"/>
      <c r="L83" s="439"/>
      <c r="M83" s="439"/>
    </row>
    <row r="84" spans="2:13" ht="15.75">
      <c r="B84" s="529">
        <v>45473</v>
      </c>
      <c r="C84" s="528">
        <f t="shared" si="1"/>
        <v>0.0589</v>
      </c>
      <c r="D84" s="483">
        <f t="shared" si="2"/>
        <v>0.0085</v>
      </c>
      <c r="E84" s="484">
        <f aca="true" t="shared" si="8" ref="E84:E147">C84+D84</f>
        <v>0.0674</v>
      </c>
      <c r="F84" s="492"/>
      <c r="G84" s="489"/>
      <c r="H84" s="485">
        <f t="shared" si="5"/>
        <v>1800000</v>
      </c>
      <c r="I84" s="487">
        <v>1</v>
      </c>
      <c r="J84" s="488">
        <f t="shared" si="7"/>
        <v>331.4754098360656</v>
      </c>
      <c r="K84" s="460"/>
      <c r="L84" s="460"/>
      <c r="M84" s="460"/>
    </row>
    <row r="85" spans="2:13" ht="15.75">
      <c r="B85" s="527">
        <v>45504</v>
      </c>
      <c r="C85" s="528">
        <f aca="true" t="shared" si="9" ref="C85:C148">C84</f>
        <v>0.0589</v>
      </c>
      <c r="D85" s="483">
        <f aca="true" t="shared" si="10" ref="D85:D148">D84</f>
        <v>0.0085</v>
      </c>
      <c r="E85" s="484">
        <f t="shared" si="8"/>
        <v>0.0674</v>
      </c>
      <c r="F85" s="498"/>
      <c r="G85" s="531"/>
      <c r="H85" s="485">
        <f t="shared" si="5"/>
        <v>1800000</v>
      </c>
      <c r="I85" s="487">
        <v>31</v>
      </c>
      <c r="J85" s="488">
        <f t="shared" si="7"/>
        <v>10275.737704918032</v>
      </c>
      <c r="K85" s="439"/>
      <c r="L85" s="439"/>
      <c r="M85" s="439"/>
    </row>
    <row r="86" spans="2:13" ht="15.75">
      <c r="B86" s="527">
        <v>45535</v>
      </c>
      <c r="C86" s="528">
        <f t="shared" si="9"/>
        <v>0.0589</v>
      </c>
      <c r="D86" s="483">
        <f t="shared" si="10"/>
        <v>0.0085</v>
      </c>
      <c r="E86" s="484">
        <f t="shared" si="8"/>
        <v>0.0674</v>
      </c>
      <c r="F86" s="485"/>
      <c r="G86" s="489"/>
      <c r="H86" s="485">
        <f t="shared" si="5"/>
        <v>1800000</v>
      </c>
      <c r="I86" s="493">
        <v>31</v>
      </c>
      <c r="J86" s="488">
        <f t="shared" si="7"/>
        <v>10275.737704918032</v>
      </c>
      <c r="K86" s="439"/>
      <c r="L86" s="439"/>
      <c r="M86" s="439"/>
    </row>
    <row r="87" spans="2:13" ht="15.75">
      <c r="B87" s="527">
        <v>45564</v>
      </c>
      <c r="C87" s="528">
        <f t="shared" si="9"/>
        <v>0.0589</v>
      </c>
      <c r="D87" s="483">
        <f t="shared" si="10"/>
        <v>0.0085</v>
      </c>
      <c r="E87" s="484">
        <f t="shared" si="8"/>
        <v>0.0674</v>
      </c>
      <c r="F87" s="485"/>
      <c r="G87" s="489"/>
      <c r="H87" s="485">
        <f t="shared" si="5"/>
        <v>1800000</v>
      </c>
      <c r="I87" s="487">
        <v>29</v>
      </c>
      <c r="J87" s="488">
        <f t="shared" si="7"/>
        <v>9612.786885245901</v>
      </c>
      <c r="K87" s="438"/>
      <c r="L87" s="439"/>
      <c r="M87" s="439"/>
    </row>
    <row r="88" spans="2:13" ht="15.75">
      <c r="B88" s="529">
        <v>45565</v>
      </c>
      <c r="C88" s="528">
        <f t="shared" si="9"/>
        <v>0.0589</v>
      </c>
      <c r="D88" s="483">
        <f t="shared" si="10"/>
        <v>0.0085</v>
      </c>
      <c r="E88" s="484">
        <f t="shared" si="8"/>
        <v>0.0674</v>
      </c>
      <c r="F88" s="485"/>
      <c r="G88" s="489"/>
      <c r="H88" s="485">
        <f t="shared" si="5"/>
        <v>1800000</v>
      </c>
      <c r="I88" s="487">
        <v>1</v>
      </c>
      <c r="J88" s="488">
        <f t="shared" si="7"/>
        <v>331.4754098360656</v>
      </c>
      <c r="K88" s="439"/>
      <c r="L88" s="439"/>
      <c r="M88" s="439"/>
    </row>
    <row r="89" spans="2:13" ht="15.75">
      <c r="B89" s="530">
        <v>45596</v>
      </c>
      <c r="C89" s="528">
        <f t="shared" si="9"/>
        <v>0.0589</v>
      </c>
      <c r="D89" s="483">
        <f t="shared" si="10"/>
        <v>0.0085</v>
      </c>
      <c r="E89" s="484">
        <f t="shared" si="8"/>
        <v>0.0674</v>
      </c>
      <c r="F89" s="485"/>
      <c r="G89" s="489"/>
      <c r="H89" s="485">
        <f t="shared" si="5"/>
        <v>1800000</v>
      </c>
      <c r="I89" s="493">
        <v>31</v>
      </c>
      <c r="J89" s="488">
        <f t="shared" si="7"/>
        <v>10275.737704918032</v>
      </c>
      <c r="K89" s="439"/>
      <c r="L89" s="439"/>
      <c r="M89" s="439"/>
    </row>
    <row r="90" spans="2:13" ht="15.75">
      <c r="B90" s="530">
        <v>45626</v>
      </c>
      <c r="C90" s="528">
        <f t="shared" si="9"/>
        <v>0.0589</v>
      </c>
      <c r="D90" s="483">
        <f t="shared" si="10"/>
        <v>0.0085</v>
      </c>
      <c r="E90" s="484">
        <f t="shared" si="8"/>
        <v>0.0674</v>
      </c>
      <c r="F90" s="485"/>
      <c r="G90" s="489"/>
      <c r="H90" s="485">
        <f t="shared" si="5"/>
        <v>1800000</v>
      </c>
      <c r="I90" s="493">
        <v>30</v>
      </c>
      <c r="J90" s="488">
        <f t="shared" si="7"/>
        <v>9944.262295081968</v>
      </c>
      <c r="K90" s="439"/>
      <c r="L90" s="439"/>
      <c r="M90" s="439"/>
    </row>
    <row r="91" spans="2:13" ht="15.75">
      <c r="B91" s="530">
        <v>45655</v>
      </c>
      <c r="C91" s="528">
        <f t="shared" si="9"/>
        <v>0.0589</v>
      </c>
      <c r="D91" s="483">
        <f t="shared" si="10"/>
        <v>0.0085</v>
      </c>
      <c r="E91" s="484">
        <f t="shared" si="8"/>
        <v>0.0674</v>
      </c>
      <c r="F91" s="485"/>
      <c r="G91" s="489"/>
      <c r="H91" s="485">
        <f t="shared" si="5"/>
        <v>1800000</v>
      </c>
      <c r="I91" s="493">
        <v>29</v>
      </c>
      <c r="J91" s="488">
        <f t="shared" si="7"/>
        <v>9612.786885245901</v>
      </c>
      <c r="K91" s="439"/>
      <c r="L91" s="439"/>
      <c r="M91" s="439"/>
    </row>
    <row r="92" spans="2:13" ht="15.75">
      <c r="B92" s="529">
        <v>45656</v>
      </c>
      <c r="C92" s="528">
        <f t="shared" si="9"/>
        <v>0.0589</v>
      </c>
      <c r="D92" s="483">
        <f t="shared" si="10"/>
        <v>0.0085</v>
      </c>
      <c r="E92" s="484">
        <f t="shared" si="8"/>
        <v>0.0674</v>
      </c>
      <c r="F92" s="492"/>
      <c r="G92" s="489"/>
      <c r="H92" s="485">
        <f t="shared" si="5"/>
        <v>1800000</v>
      </c>
      <c r="I92" s="493">
        <v>1</v>
      </c>
      <c r="J92" s="488">
        <f t="shared" si="7"/>
        <v>331.4754098360656</v>
      </c>
      <c r="K92" s="460"/>
      <c r="L92" s="460"/>
      <c r="M92" s="460"/>
    </row>
    <row r="93" spans="2:13" ht="15.75">
      <c r="B93" s="532">
        <v>45657</v>
      </c>
      <c r="C93" s="533">
        <f t="shared" si="9"/>
        <v>0.0589</v>
      </c>
      <c r="D93" s="432">
        <f t="shared" si="10"/>
        <v>0.0085</v>
      </c>
      <c r="E93" s="433">
        <f t="shared" si="8"/>
        <v>0.0674</v>
      </c>
      <c r="F93" s="434"/>
      <c r="G93" s="534"/>
      <c r="H93" s="434">
        <f t="shared" si="5"/>
        <v>1800000</v>
      </c>
      <c r="I93" s="436">
        <v>1</v>
      </c>
      <c r="J93" s="535">
        <f t="shared" si="7"/>
        <v>331.4754098360656</v>
      </c>
      <c r="K93" s="438"/>
      <c r="L93" s="439"/>
      <c r="M93" s="439"/>
    </row>
    <row r="94" spans="2:13" ht="15.75">
      <c r="B94" s="537">
        <v>45688</v>
      </c>
      <c r="C94" s="441">
        <f t="shared" si="9"/>
        <v>0.0589</v>
      </c>
      <c r="D94" s="442">
        <f t="shared" si="10"/>
        <v>0.0085</v>
      </c>
      <c r="E94" s="443">
        <f t="shared" si="8"/>
        <v>0.0674</v>
      </c>
      <c r="F94" s="444"/>
      <c r="G94" s="506"/>
      <c r="H94" s="444">
        <f t="shared" si="5"/>
        <v>1800000</v>
      </c>
      <c r="I94" s="446">
        <v>31</v>
      </c>
      <c r="J94" s="447">
        <f aca="true" t="shared" si="11" ref="J94:J157">H94*E94*I94/365</f>
        <v>10303.890410958904</v>
      </c>
      <c r="K94" s="438">
        <f>SUM(J94:J111)</f>
        <v>111089.9726027397</v>
      </c>
      <c r="L94" s="439" t="s">
        <v>198</v>
      </c>
      <c r="M94" s="439"/>
    </row>
    <row r="95" spans="2:13" ht="15.75">
      <c r="B95" s="538">
        <v>45716</v>
      </c>
      <c r="C95" s="449">
        <f t="shared" si="9"/>
        <v>0.0589</v>
      </c>
      <c r="D95" s="450">
        <f t="shared" si="10"/>
        <v>0.0085</v>
      </c>
      <c r="E95" s="451">
        <f t="shared" si="8"/>
        <v>0.0674</v>
      </c>
      <c r="F95" s="452"/>
      <c r="G95" s="459"/>
      <c r="H95" s="452">
        <f t="shared" si="5"/>
        <v>1800000</v>
      </c>
      <c r="I95" s="454">
        <v>28</v>
      </c>
      <c r="J95" s="455">
        <f t="shared" si="11"/>
        <v>9306.739726027397</v>
      </c>
      <c r="K95" s="439"/>
      <c r="L95" s="439"/>
      <c r="M95" s="439"/>
    </row>
    <row r="96" spans="2:13" ht="15.75">
      <c r="B96" s="538">
        <v>45745</v>
      </c>
      <c r="C96" s="449">
        <f t="shared" si="9"/>
        <v>0.0589</v>
      </c>
      <c r="D96" s="450">
        <f t="shared" si="10"/>
        <v>0.0085</v>
      </c>
      <c r="E96" s="451">
        <f t="shared" si="8"/>
        <v>0.0674</v>
      </c>
      <c r="F96" s="452"/>
      <c r="G96" s="459"/>
      <c r="H96" s="452">
        <f t="shared" si="5"/>
        <v>1800000</v>
      </c>
      <c r="I96" s="454">
        <v>29</v>
      </c>
      <c r="J96" s="455">
        <f t="shared" si="11"/>
        <v>9639.123287671233</v>
      </c>
      <c r="K96" s="439"/>
      <c r="L96" s="439"/>
      <c r="M96" s="439"/>
    </row>
    <row r="97" spans="2:13" ht="15.75">
      <c r="B97" s="539">
        <v>45746</v>
      </c>
      <c r="C97" s="449">
        <f t="shared" si="9"/>
        <v>0.0589</v>
      </c>
      <c r="D97" s="450">
        <f t="shared" si="10"/>
        <v>0.0085</v>
      </c>
      <c r="E97" s="451">
        <f t="shared" si="8"/>
        <v>0.0674</v>
      </c>
      <c r="F97" s="452"/>
      <c r="G97" s="459">
        <v>200000</v>
      </c>
      <c r="H97" s="452">
        <f t="shared" si="5"/>
        <v>1600000</v>
      </c>
      <c r="I97" s="454">
        <v>1</v>
      </c>
      <c r="J97" s="455">
        <f t="shared" si="11"/>
        <v>295.45205479452056</v>
      </c>
      <c r="K97" s="439"/>
      <c r="L97" s="439"/>
      <c r="M97" s="439"/>
    </row>
    <row r="98" spans="2:13" ht="15.75">
      <c r="B98" s="538">
        <v>45747</v>
      </c>
      <c r="C98" s="449">
        <f t="shared" si="9"/>
        <v>0.0589</v>
      </c>
      <c r="D98" s="450">
        <f t="shared" si="10"/>
        <v>0.0085</v>
      </c>
      <c r="E98" s="451">
        <f t="shared" si="8"/>
        <v>0.0674</v>
      </c>
      <c r="F98" s="462"/>
      <c r="G98" s="459"/>
      <c r="H98" s="452">
        <f t="shared" si="5"/>
        <v>1600000</v>
      </c>
      <c r="I98" s="454">
        <v>1</v>
      </c>
      <c r="J98" s="455">
        <f t="shared" si="11"/>
        <v>295.45205479452056</v>
      </c>
      <c r="K98" s="460"/>
      <c r="L98" s="460"/>
      <c r="M98" s="460"/>
    </row>
    <row r="99" spans="2:13" ht="15.75">
      <c r="B99" s="538">
        <v>45777</v>
      </c>
      <c r="C99" s="449">
        <f t="shared" si="9"/>
        <v>0.0589</v>
      </c>
      <c r="D99" s="450">
        <f t="shared" si="10"/>
        <v>0.0085</v>
      </c>
      <c r="E99" s="451">
        <f t="shared" si="8"/>
        <v>0.0674</v>
      </c>
      <c r="F99" s="511"/>
      <c r="G99" s="512"/>
      <c r="H99" s="452">
        <f t="shared" si="5"/>
        <v>1600000</v>
      </c>
      <c r="I99" s="454">
        <v>30</v>
      </c>
      <c r="J99" s="455">
        <f t="shared" si="11"/>
        <v>8863.561643835616</v>
      </c>
      <c r="K99" s="439"/>
      <c r="L99" s="439"/>
      <c r="M99" s="439"/>
    </row>
    <row r="100" spans="2:13" ht="15.75">
      <c r="B100" s="540">
        <v>45808</v>
      </c>
      <c r="C100" s="449">
        <f t="shared" si="9"/>
        <v>0.0589</v>
      </c>
      <c r="D100" s="450">
        <f t="shared" si="10"/>
        <v>0.0085</v>
      </c>
      <c r="E100" s="451">
        <f t="shared" si="8"/>
        <v>0.0674</v>
      </c>
      <c r="F100" s="452"/>
      <c r="G100" s="459"/>
      <c r="H100" s="452">
        <f t="shared" si="5"/>
        <v>1600000</v>
      </c>
      <c r="I100" s="454">
        <v>31</v>
      </c>
      <c r="J100" s="455">
        <f t="shared" si="11"/>
        <v>9159.013698630137</v>
      </c>
      <c r="K100" s="439"/>
      <c r="L100" s="439"/>
      <c r="M100" s="439"/>
    </row>
    <row r="101" spans="2:13" ht="15.75">
      <c r="B101" s="540">
        <v>45837</v>
      </c>
      <c r="C101" s="449">
        <f t="shared" si="9"/>
        <v>0.0589</v>
      </c>
      <c r="D101" s="450">
        <f t="shared" si="10"/>
        <v>0.0085</v>
      </c>
      <c r="E101" s="451">
        <f t="shared" si="8"/>
        <v>0.0674</v>
      </c>
      <c r="F101" s="452"/>
      <c r="G101" s="459"/>
      <c r="H101" s="452">
        <f t="shared" si="5"/>
        <v>1600000</v>
      </c>
      <c r="I101" s="508">
        <v>29</v>
      </c>
      <c r="J101" s="455">
        <f t="shared" si="11"/>
        <v>8568.109589041096</v>
      </c>
      <c r="K101" s="438"/>
      <c r="L101" s="439"/>
      <c r="M101" s="439"/>
    </row>
    <row r="102" spans="2:13" ht="15.75">
      <c r="B102" s="539">
        <v>45838</v>
      </c>
      <c r="C102" s="449">
        <f t="shared" si="9"/>
        <v>0.0589</v>
      </c>
      <c r="D102" s="450">
        <f t="shared" si="10"/>
        <v>0.0085</v>
      </c>
      <c r="E102" s="451">
        <f t="shared" si="8"/>
        <v>0.0674</v>
      </c>
      <c r="F102" s="452"/>
      <c r="G102" s="459"/>
      <c r="H102" s="452">
        <f t="shared" si="5"/>
        <v>1600000</v>
      </c>
      <c r="I102" s="454">
        <v>1</v>
      </c>
      <c r="J102" s="455">
        <f t="shared" si="11"/>
        <v>295.45205479452056</v>
      </c>
      <c r="K102" s="439"/>
      <c r="L102" s="439"/>
      <c r="M102" s="439"/>
    </row>
    <row r="103" spans="2:13" ht="15.75">
      <c r="B103" s="538">
        <v>45869</v>
      </c>
      <c r="C103" s="449">
        <f t="shared" si="9"/>
        <v>0.0589</v>
      </c>
      <c r="D103" s="450">
        <f t="shared" si="10"/>
        <v>0.0085</v>
      </c>
      <c r="E103" s="451">
        <f t="shared" si="8"/>
        <v>0.0674</v>
      </c>
      <c r="F103" s="452"/>
      <c r="G103" s="459"/>
      <c r="H103" s="452">
        <f t="shared" si="5"/>
        <v>1600000</v>
      </c>
      <c r="I103" s="454">
        <v>31</v>
      </c>
      <c r="J103" s="455">
        <f t="shared" si="11"/>
        <v>9159.013698630137</v>
      </c>
      <c r="K103" s="439"/>
      <c r="L103" s="439"/>
      <c r="M103" s="439"/>
    </row>
    <row r="104" spans="2:13" ht="15.75">
      <c r="B104" s="538">
        <v>45900</v>
      </c>
      <c r="C104" s="449">
        <f t="shared" si="9"/>
        <v>0.0589</v>
      </c>
      <c r="D104" s="450">
        <f t="shared" si="10"/>
        <v>0.0085</v>
      </c>
      <c r="E104" s="451">
        <f t="shared" si="8"/>
        <v>0.0674</v>
      </c>
      <c r="F104" s="452"/>
      <c r="G104" s="459"/>
      <c r="H104" s="452">
        <f t="shared" si="5"/>
        <v>1600000</v>
      </c>
      <c r="I104" s="508">
        <v>31</v>
      </c>
      <c r="J104" s="455">
        <f t="shared" si="11"/>
        <v>9159.013698630137</v>
      </c>
      <c r="K104" s="439"/>
      <c r="L104" s="439"/>
      <c r="M104" s="439"/>
    </row>
    <row r="105" spans="2:13" ht="15.75">
      <c r="B105" s="538">
        <v>45929</v>
      </c>
      <c r="C105" s="449">
        <f t="shared" si="9"/>
        <v>0.0589</v>
      </c>
      <c r="D105" s="450">
        <f t="shared" si="10"/>
        <v>0.0085</v>
      </c>
      <c r="E105" s="451">
        <f t="shared" si="8"/>
        <v>0.0674</v>
      </c>
      <c r="F105" s="452"/>
      <c r="G105" s="459"/>
      <c r="H105" s="452">
        <f t="shared" si="5"/>
        <v>1600000</v>
      </c>
      <c r="I105" s="454">
        <v>29</v>
      </c>
      <c r="J105" s="455">
        <f t="shared" si="11"/>
        <v>8568.109589041096</v>
      </c>
      <c r="K105" s="439"/>
      <c r="L105" s="439"/>
      <c r="M105" s="439"/>
    </row>
    <row r="106" spans="2:13" ht="15.75">
      <c r="B106" s="539">
        <v>45930</v>
      </c>
      <c r="C106" s="449">
        <f t="shared" si="9"/>
        <v>0.0589</v>
      </c>
      <c r="D106" s="450">
        <f t="shared" si="10"/>
        <v>0.0085</v>
      </c>
      <c r="E106" s="451">
        <f t="shared" si="8"/>
        <v>0.0674</v>
      </c>
      <c r="F106" s="462"/>
      <c r="G106" s="459"/>
      <c r="H106" s="452">
        <f t="shared" si="5"/>
        <v>1600000</v>
      </c>
      <c r="I106" s="454">
        <v>1</v>
      </c>
      <c r="J106" s="455">
        <f t="shared" si="11"/>
        <v>295.45205479452056</v>
      </c>
      <c r="K106" s="460"/>
      <c r="L106" s="460"/>
      <c r="M106" s="460"/>
    </row>
    <row r="107" spans="2:13" ht="15.75">
      <c r="B107" s="540">
        <v>45961</v>
      </c>
      <c r="C107" s="449">
        <f t="shared" si="9"/>
        <v>0.0589</v>
      </c>
      <c r="D107" s="450">
        <f t="shared" si="10"/>
        <v>0.0085</v>
      </c>
      <c r="E107" s="451">
        <f t="shared" si="8"/>
        <v>0.0674</v>
      </c>
      <c r="F107" s="452"/>
      <c r="G107" s="459"/>
      <c r="H107" s="452">
        <f t="shared" si="5"/>
        <v>1600000</v>
      </c>
      <c r="I107" s="508">
        <v>31</v>
      </c>
      <c r="J107" s="455">
        <f t="shared" si="11"/>
        <v>9159.013698630137</v>
      </c>
      <c r="K107" s="439"/>
      <c r="L107" s="439"/>
      <c r="M107" s="439"/>
    </row>
    <row r="108" spans="2:13" ht="15.75">
      <c r="B108" s="540">
        <v>45991</v>
      </c>
      <c r="C108" s="449">
        <f t="shared" si="9"/>
        <v>0.0589</v>
      </c>
      <c r="D108" s="450">
        <f t="shared" si="10"/>
        <v>0.0085</v>
      </c>
      <c r="E108" s="451">
        <f t="shared" si="8"/>
        <v>0.0674</v>
      </c>
      <c r="F108" s="452"/>
      <c r="G108" s="459"/>
      <c r="H108" s="452">
        <f t="shared" si="5"/>
        <v>1600000</v>
      </c>
      <c r="I108" s="514">
        <v>30</v>
      </c>
      <c r="J108" s="455">
        <f t="shared" si="11"/>
        <v>8863.561643835616</v>
      </c>
      <c r="K108" s="439"/>
      <c r="L108" s="439"/>
      <c r="M108" s="439"/>
    </row>
    <row r="109" spans="2:13" ht="15.75">
      <c r="B109" s="540">
        <v>46020</v>
      </c>
      <c r="C109" s="449">
        <f t="shared" si="9"/>
        <v>0.0589</v>
      </c>
      <c r="D109" s="450">
        <f t="shared" si="10"/>
        <v>0.0085</v>
      </c>
      <c r="E109" s="451">
        <f t="shared" si="8"/>
        <v>0.0674</v>
      </c>
      <c r="F109" s="452"/>
      <c r="G109" s="459"/>
      <c r="H109" s="452">
        <f t="shared" si="5"/>
        <v>1600000</v>
      </c>
      <c r="I109" s="508">
        <v>29</v>
      </c>
      <c r="J109" s="455">
        <f t="shared" si="11"/>
        <v>8568.109589041096</v>
      </c>
      <c r="K109" s="439"/>
      <c r="L109" s="439"/>
      <c r="M109" s="439"/>
    </row>
    <row r="110" spans="2:13" ht="15.75">
      <c r="B110" s="539">
        <v>46021</v>
      </c>
      <c r="C110" s="449">
        <f t="shared" si="9"/>
        <v>0.0589</v>
      </c>
      <c r="D110" s="450">
        <f t="shared" si="10"/>
        <v>0.0085</v>
      </c>
      <c r="E110" s="451">
        <f t="shared" si="8"/>
        <v>0.0674</v>
      </c>
      <c r="F110" s="452"/>
      <c r="G110" s="459"/>
      <c r="H110" s="452">
        <f t="shared" si="5"/>
        <v>1600000</v>
      </c>
      <c r="I110" s="508">
        <v>1</v>
      </c>
      <c r="J110" s="455">
        <f t="shared" si="11"/>
        <v>295.45205479452056</v>
      </c>
      <c r="K110" s="439"/>
      <c r="L110" s="439"/>
      <c r="M110" s="439"/>
    </row>
    <row r="111" spans="2:13" ht="15.75">
      <c r="B111" s="541">
        <v>46022</v>
      </c>
      <c r="C111" s="518">
        <f t="shared" si="9"/>
        <v>0.0589</v>
      </c>
      <c r="D111" s="519">
        <f t="shared" si="10"/>
        <v>0.0085</v>
      </c>
      <c r="E111" s="520">
        <f t="shared" si="8"/>
        <v>0.0674</v>
      </c>
      <c r="F111" s="521"/>
      <c r="G111" s="522"/>
      <c r="H111" s="521">
        <f t="shared" si="5"/>
        <v>1600000</v>
      </c>
      <c r="I111" s="523">
        <v>1</v>
      </c>
      <c r="J111" s="524">
        <f t="shared" si="11"/>
        <v>295.45205479452056</v>
      </c>
      <c r="K111" s="439"/>
      <c r="L111" s="439"/>
      <c r="M111" s="439"/>
    </row>
    <row r="112" spans="2:13" ht="15.75">
      <c r="B112" s="479">
        <v>46053</v>
      </c>
      <c r="C112" s="421">
        <f t="shared" si="9"/>
        <v>0.0589</v>
      </c>
      <c r="D112" s="422">
        <f t="shared" si="10"/>
        <v>0.0085</v>
      </c>
      <c r="E112" s="423">
        <f t="shared" si="8"/>
        <v>0.0674</v>
      </c>
      <c r="F112" s="542"/>
      <c r="G112" s="425"/>
      <c r="H112" s="426">
        <f aca="true" t="shared" si="12" ref="H112:H175">H111-G112</f>
        <v>1600000</v>
      </c>
      <c r="I112" s="427">
        <v>31</v>
      </c>
      <c r="J112" s="428">
        <f t="shared" si="11"/>
        <v>9159.013698630137</v>
      </c>
      <c r="K112" s="543">
        <f>SUM(J112:J129)</f>
        <v>97609.97260273974</v>
      </c>
      <c r="L112" s="559" t="s">
        <v>199</v>
      </c>
      <c r="M112" s="460"/>
    </row>
    <row r="113" spans="2:13" ht="15.75">
      <c r="B113" s="481">
        <v>46081</v>
      </c>
      <c r="C113" s="482">
        <f t="shared" si="9"/>
        <v>0.0589</v>
      </c>
      <c r="D113" s="483">
        <f t="shared" si="10"/>
        <v>0.0085</v>
      </c>
      <c r="E113" s="484">
        <f t="shared" si="8"/>
        <v>0.0674</v>
      </c>
      <c r="F113" s="498"/>
      <c r="G113" s="531"/>
      <c r="H113" s="485">
        <f t="shared" si="12"/>
        <v>1600000</v>
      </c>
      <c r="I113" s="487">
        <v>28</v>
      </c>
      <c r="J113" s="488">
        <f t="shared" si="11"/>
        <v>8272.657534246575</v>
      </c>
      <c r="K113" s="439"/>
      <c r="L113" s="439"/>
      <c r="M113" s="439"/>
    </row>
    <row r="114" spans="2:13" ht="15.75">
      <c r="B114" s="481">
        <v>46110</v>
      </c>
      <c r="C114" s="482">
        <f t="shared" si="9"/>
        <v>0.0589</v>
      </c>
      <c r="D114" s="483">
        <f t="shared" si="10"/>
        <v>0.0085</v>
      </c>
      <c r="E114" s="484">
        <f t="shared" si="8"/>
        <v>0.0674</v>
      </c>
      <c r="F114" s="485"/>
      <c r="G114" s="489"/>
      <c r="H114" s="485">
        <f t="shared" si="12"/>
        <v>1600000</v>
      </c>
      <c r="I114" s="487">
        <v>29</v>
      </c>
      <c r="J114" s="488">
        <f t="shared" si="11"/>
        <v>8568.109589041096</v>
      </c>
      <c r="K114" s="439"/>
      <c r="L114" s="439"/>
      <c r="M114" s="439"/>
    </row>
    <row r="115" spans="2:13" ht="15.75">
      <c r="B115" s="490">
        <v>46111</v>
      </c>
      <c r="C115" s="482">
        <f t="shared" si="9"/>
        <v>0.0589</v>
      </c>
      <c r="D115" s="483">
        <f t="shared" si="10"/>
        <v>0.0085</v>
      </c>
      <c r="E115" s="484">
        <f t="shared" si="8"/>
        <v>0.0674</v>
      </c>
      <c r="F115" s="485"/>
      <c r="G115" s="489">
        <v>200000</v>
      </c>
      <c r="H115" s="485">
        <f t="shared" si="12"/>
        <v>1400000</v>
      </c>
      <c r="I115" s="487">
        <v>1</v>
      </c>
      <c r="J115" s="488">
        <f t="shared" si="11"/>
        <v>258.52054794520546</v>
      </c>
      <c r="K115" s="438"/>
      <c r="L115" s="439"/>
      <c r="M115" s="439"/>
    </row>
    <row r="116" spans="2:13" ht="15.75">
      <c r="B116" s="481">
        <v>46112</v>
      </c>
      <c r="C116" s="482">
        <f t="shared" si="9"/>
        <v>0.0589</v>
      </c>
      <c r="D116" s="483">
        <f t="shared" si="10"/>
        <v>0.0085</v>
      </c>
      <c r="E116" s="484">
        <f t="shared" si="8"/>
        <v>0.0674</v>
      </c>
      <c r="F116" s="485"/>
      <c r="G116" s="489"/>
      <c r="H116" s="485">
        <f t="shared" si="12"/>
        <v>1400000</v>
      </c>
      <c r="I116" s="487">
        <v>1</v>
      </c>
      <c r="J116" s="488">
        <f t="shared" si="11"/>
        <v>258.52054794520546</v>
      </c>
      <c r="K116" s="439"/>
      <c r="L116" s="439"/>
      <c r="M116" s="439"/>
    </row>
    <row r="117" spans="2:13" ht="15.75">
      <c r="B117" s="481">
        <v>46142</v>
      </c>
      <c r="C117" s="482">
        <f t="shared" si="9"/>
        <v>0.0589</v>
      </c>
      <c r="D117" s="483">
        <f t="shared" si="10"/>
        <v>0.0085</v>
      </c>
      <c r="E117" s="484">
        <f t="shared" si="8"/>
        <v>0.0674</v>
      </c>
      <c r="F117" s="485"/>
      <c r="G117" s="489"/>
      <c r="H117" s="485">
        <f t="shared" si="12"/>
        <v>1400000</v>
      </c>
      <c r="I117" s="487">
        <v>30</v>
      </c>
      <c r="J117" s="488">
        <f t="shared" si="11"/>
        <v>7755.6164383561645</v>
      </c>
      <c r="K117" s="439"/>
      <c r="L117" s="439"/>
      <c r="M117" s="439"/>
    </row>
    <row r="118" spans="2:13" ht="15.75">
      <c r="B118" s="491">
        <v>46173</v>
      </c>
      <c r="C118" s="482">
        <f t="shared" si="9"/>
        <v>0.0589</v>
      </c>
      <c r="D118" s="483">
        <f t="shared" si="10"/>
        <v>0.0085</v>
      </c>
      <c r="E118" s="484">
        <f t="shared" si="8"/>
        <v>0.0674</v>
      </c>
      <c r="F118" s="485"/>
      <c r="G118" s="489"/>
      <c r="H118" s="485">
        <f t="shared" si="12"/>
        <v>1400000</v>
      </c>
      <c r="I118" s="487">
        <v>31</v>
      </c>
      <c r="J118" s="488">
        <f t="shared" si="11"/>
        <v>8014.13698630137</v>
      </c>
      <c r="K118" s="439"/>
      <c r="L118" s="439"/>
      <c r="M118" s="439"/>
    </row>
    <row r="119" spans="2:13" ht="15.75">
      <c r="B119" s="491">
        <v>46202</v>
      </c>
      <c r="C119" s="482">
        <f t="shared" si="9"/>
        <v>0.0589</v>
      </c>
      <c r="D119" s="483">
        <f t="shared" si="10"/>
        <v>0.0085</v>
      </c>
      <c r="E119" s="484">
        <f t="shared" si="8"/>
        <v>0.0674</v>
      </c>
      <c r="F119" s="485"/>
      <c r="G119" s="489"/>
      <c r="H119" s="485">
        <f t="shared" si="12"/>
        <v>1400000</v>
      </c>
      <c r="I119" s="493">
        <v>29</v>
      </c>
      <c r="J119" s="488">
        <f t="shared" si="11"/>
        <v>7497.095890410959</v>
      </c>
      <c r="K119" s="439"/>
      <c r="L119" s="439"/>
      <c r="M119" s="439"/>
    </row>
    <row r="120" spans="2:13" ht="15.75">
      <c r="B120" s="490">
        <v>46203</v>
      </c>
      <c r="C120" s="482">
        <f t="shared" si="9"/>
        <v>0.0589</v>
      </c>
      <c r="D120" s="483">
        <f t="shared" si="10"/>
        <v>0.0085</v>
      </c>
      <c r="E120" s="484">
        <f t="shared" si="8"/>
        <v>0.0674</v>
      </c>
      <c r="F120" s="485"/>
      <c r="G120" s="489"/>
      <c r="H120" s="485">
        <f t="shared" si="12"/>
        <v>1400000</v>
      </c>
      <c r="I120" s="487">
        <v>1</v>
      </c>
      <c r="J120" s="488">
        <f t="shared" si="11"/>
        <v>258.52054794520546</v>
      </c>
      <c r="K120" s="460"/>
      <c r="L120" s="460"/>
      <c r="M120" s="460"/>
    </row>
    <row r="121" spans="2:13" ht="15.75">
      <c r="B121" s="481">
        <v>46234</v>
      </c>
      <c r="C121" s="482">
        <f t="shared" si="9"/>
        <v>0.0589</v>
      </c>
      <c r="D121" s="483">
        <f t="shared" si="10"/>
        <v>0.0085</v>
      </c>
      <c r="E121" s="484">
        <f t="shared" si="8"/>
        <v>0.0674</v>
      </c>
      <c r="F121" s="485"/>
      <c r="G121" s="489"/>
      <c r="H121" s="485">
        <f t="shared" si="12"/>
        <v>1400000</v>
      </c>
      <c r="I121" s="487">
        <v>31</v>
      </c>
      <c r="J121" s="488">
        <f t="shared" si="11"/>
        <v>8014.13698630137</v>
      </c>
      <c r="K121" s="439"/>
      <c r="L121" s="439"/>
      <c r="M121" s="439"/>
    </row>
    <row r="122" spans="2:13" ht="15.75">
      <c r="B122" s="481">
        <v>46265</v>
      </c>
      <c r="C122" s="482">
        <f t="shared" si="9"/>
        <v>0.0589</v>
      </c>
      <c r="D122" s="483">
        <f t="shared" si="10"/>
        <v>0.0085</v>
      </c>
      <c r="E122" s="484">
        <f t="shared" si="8"/>
        <v>0.0674</v>
      </c>
      <c r="F122" s="485"/>
      <c r="G122" s="489"/>
      <c r="H122" s="485">
        <f t="shared" si="12"/>
        <v>1400000</v>
      </c>
      <c r="I122" s="493">
        <v>31</v>
      </c>
      <c r="J122" s="488">
        <f t="shared" si="11"/>
        <v>8014.13698630137</v>
      </c>
      <c r="K122" s="439"/>
      <c r="L122" s="439"/>
      <c r="M122" s="439"/>
    </row>
    <row r="123" spans="2:13" ht="15.75">
      <c r="B123" s="481">
        <v>46294</v>
      </c>
      <c r="C123" s="482">
        <f t="shared" si="9"/>
        <v>0.0589</v>
      </c>
      <c r="D123" s="483">
        <f t="shared" si="10"/>
        <v>0.0085</v>
      </c>
      <c r="E123" s="484">
        <f t="shared" si="8"/>
        <v>0.0674</v>
      </c>
      <c r="F123" s="485"/>
      <c r="G123" s="489"/>
      <c r="H123" s="485">
        <f t="shared" si="12"/>
        <v>1400000</v>
      </c>
      <c r="I123" s="487">
        <v>29</v>
      </c>
      <c r="J123" s="488">
        <f t="shared" si="11"/>
        <v>7497.095890410959</v>
      </c>
      <c r="K123" s="439"/>
      <c r="L123" s="439"/>
      <c r="M123" s="439"/>
    </row>
    <row r="124" spans="2:13" ht="15.75">
      <c r="B124" s="490">
        <v>46295</v>
      </c>
      <c r="C124" s="482">
        <f t="shared" si="9"/>
        <v>0.0589</v>
      </c>
      <c r="D124" s="483">
        <f t="shared" si="10"/>
        <v>0.0085</v>
      </c>
      <c r="E124" s="484">
        <f t="shared" si="8"/>
        <v>0.0674</v>
      </c>
      <c r="F124" s="485"/>
      <c r="G124" s="489"/>
      <c r="H124" s="485">
        <f t="shared" si="12"/>
        <v>1400000</v>
      </c>
      <c r="I124" s="487">
        <v>1</v>
      </c>
      <c r="J124" s="488">
        <f t="shared" si="11"/>
        <v>258.52054794520546</v>
      </c>
      <c r="K124" s="439"/>
      <c r="L124" s="439"/>
      <c r="M124" s="439"/>
    </row>
    <row r="125" spans="2:13" ht="15.75">
      <c r="B125" s="491">
        <v>46326</v>
      </c>
      <c r="C125" s="482">
        <f t="shared" si="9"/>
        <v>0.0589</v>
      </c>
      <c r="D125" s="483">
        <f t="shared" si="10"/>
        <v>0.0085</v>
      </c>
      <c r="E125" s="484">
        <f t="shared" si="8"/>
        <v>0.0674</v>
      </c>
      <c r="F125" s="485"/>
      <c r="G125" s="489"/>
      <c r="H125" s="485">
        <f t="shared" si="12"/>
        <v>1400000</v>
      </c>
      <c r="I125" s="493">
        <v>31</v>
      </c>
      <c r="J125" s="488">
        <f t="shared" si="11"/>
        <v>8014.13698630137</v>
      </c>
      <c r="K125" s="439"/>
      <c r="L125" s="439"/>
      <c r="M125" s="439"/>
    </row>
    <row r="126" spans="2:13" ht="15.75">
      <c r="B126" s="491">
        <v>46356</v>
      </c>
      <c r="C126" s="482">
        <f t="shared" si="9"/>
        <v>0.0589</v>
      </c>
      <c r="D126" s="483">
        <f t="shared" si="10"/>
        <v>0.0085</v>
      </c>
      <c r="E126" s="484">
        <f t="shared" si="8"/>
        <v>0.0674</v>
      </c>
      <c r="F126" s="485"/>
      <c r="G126" s="489"/>
      <c r="H126" s="485">
        <f t="shared" si="12"/>
        <v>1400000</v>
      </c>
      <c r="I126" s="493">
        <v>30</v>
      </c>
      <c r="J126" s="488">
        <f t="shared" si="11"/>
        <v>7755.6164383561645</v>
      </c>
      <c r="K126" s="439"/>
      <c r="L126" s="439"/>
      <c r="M126" s="439"/>
    </row>
    <row r="127" spans="2:13" ht="15.75">
      <c r="B127" s="491">
        <v>46385</v>
      </c>
      <c r="C127" s="482">
        <f t="shared" si="9"/>
        <v>0.0589</v>
      </c>
      <c r="D127" s="483">
        <f t="shared" si="10"/>
        <v>0.0085</v>
      </c>
      <c r="E127" s="484">
        <f t="shared" si="8"/>
        <v>0.0674</v>
      </c>
      <c r="F127" s="498"/>
      <c r="G127" s="531"/>
      <c r="H127" s="485">
        <f t="shared" si="12"/>
        <v>1400000</v>
      </c>
      <c r="I127" s="493">
        <v>29</v>
      </c>
      <c r="J127" s="488">
        <f t="shared" si="11"/>
        <v>7497.095890410959</v>
      </c>
      <c r="K127" s="439"/>
      <c r="L127" s="439"/>
      <c r="M127" s="439"/>
    </row>
    <row r="128" spans="2:13" ht="15.75">
      <c r="B128" s="490">
        <v>46386</v>
      </c>
      <c r="C128" s="482">
        <f t="shared" si="9"/>
        <v>0.0589</v>
      </c>
      <c r="D128" s="483">
        <f t="shared" si="10"/>
        <v>0.0085</v>
      </c>
      <c r="E128" s="484">
        <f t="shared" si="8"/>
        <v>0.0674</v>
      </c>
      <c r="F128" s="485"/>
      <c r="G128" s="489"/>
      <c r="H128" s="485">
        <f t="shared" si="12"/>
        <v>1400000</v>
      </c>
      <c r="I128" s="493">
        <v>1</v>
      </c>
      <c r="J128" s="488">
        <f t="shared" si="11"/>
        <v>258.52054794520546</v>
      </c>
      <c r="K128" s="439"/>
      <c r="L128" s="439"/>
      <c r="M128" s="439"/>
    </row>
    <row r="129" spans="2:13" ht="15.75">
      <c r="B129" s="544">
        <v>46387</v>
      </c>
      <c r="C129" s="545">
        <f t="shared" si="9"/>
        <v>0.0589</v>
      </c>
      <c r="D129" s="546">
        <f t="shared" si="10"/>
        <v>0.0085</v>
      </c>
      <c r="E129" s="547">
        <f t="shared" si="8"/>
        <v>0.0674</v>
      </c>
      <c r="F129" s="495"/>
      <c r="G129" s="548"/>
      <c r="H129" s="495">
        <f t="shared" si="12"/>
        <v>1400000</v>
      </c>
      <c r="I129" s="549">
        <v>1</v>
      </c>
      <c r="J129" s="550">
        <f t="shared" si="11"/>
        <v>258.52054794520546</v>
      </c>
      <c r="K129" s="438"/>
      <c r="L129" s="439"/>
      <c r="M129" s="439"/>
    </row>
    <row r="130" spans="2:13" ht="15.75">
      <c r="B130" s="440">
        <v>46418</v>
      </c>
      <c r="C130" s="441">
        <f t="shared" si="9"/>
        <v>0.0589</v>
      </c>
      <c r="D130" s="442">
        <f t="shared" si="10"/>
        <v>0.0085</v>
      </c>
      <c r="E130" s="443">
        <f t="shared" si="8"/>
        <v>0.0674</v>
      </c>
      <c r="F130" s="444"/>
      <c r="G130" s="506"/>
      <c r="H130" s="444">
        <f t="shared" si="12"/>
        <v>1400000</v>
      </c>
      <c r="I130" s="446">
        <v>31</v>
      </c>
      <c r="J130" s="447">
        <f t="shared" si="11"/>
        <v>8014.13698630137</v>
      </c>
      <c r="K130" s="438">
        <f>SUM(J130:J147)</f>
        <v>84129.97260273974</v>
      </c>
      <c r="L130" s="439" t="s">
        <v>200</v>
      </c>
      <c r="M130" s="439"/>
    </row>
    <row r="131" spans="2:13" ht="15.75">
      <c r="B131" s="448">
        <v>46446</v>
      </c>
      <c r="C131" s="449">
        <f t="shared" si="9"/>
        <v>0.0589</v>
      </c>
      <c r="D131" s="450">
        <f t="shared" si="10"/>
        <v>0.0085</v>
      </c>
      <c r="E131" s="451">
        <f t="shared" si="8"/>
        <v>0.0674</v>
      </c>
      <c r="F131" s="452"/>
      <c r="G131" s="459"/>
      <c r="H131" s="452">
        <f t="shared" si="12"/>
        <v>1400000</v>
      </c>
      <c r="I131" s="454">
        <v>28</v>
      </c>
      <c r="J131" s="455">
        <f t="shared" si="11"/>
        <v>7238.575342465753</v>
      </c>
      <c r="K131" s="439"/>
      <c r="L131" s="439"/>
      <c r="M131" s="439"/>
    </row>
    <row r="132" spans="2:13" ht="15.75">
      <c r="B132" s="448">
        <v>46475</v>
      </c>
      <c r="C132" s="449">
        <f t="shared" si="9"/>
        <v>0.0589</v>
      </c>
      <c r="D132" s="450">
        <f t="shared" si="10"/>
        <v>0.0085</v>
      </c>
      <c r="E132" s="451">
        <f t="shared" si="8"/>
        <v>0.0674</v>
      </c>
      <c r="F132" s="452"/>
      <c r="G132" s="459"/>
      <c r="H132" s="452">
        <f t="shared" si="12"/>
        <v>1400000</v>
      </c>
      <c r="I132" s="454">
        <v>29</v>
      </c>
      <c r="J132" s="455">
        <f t="shared" si="11"/>
        <v>7497.095890410959</v>
      </c>
      <c r="K132" s="439"/>
      <c r="L132" s="439"/>
      <c r="M132" s="439"/>
    </row>
    <row r="133" spans="2:13" ht="15.75">
      <c r="B133" s="458">
        <v>46476</v>
      </c>
      <c r="C133" s="449">
        <f t="shared" si="9"/>
        <v>0.0589</v>
      </c>
      <c r="D133" s="450">
        <f t="shared" si="10"/>
        <v>0.0085</v>
      </c>
      <c r="E133" s="451">
        <f t="shared" si="8"/>
        <v>0.0674</v>
      </c>
      <c r="F133" s="452"/>
      <c r="G133" s="459">
        <v>200000</v>
      </c>
      <c r="H133" s="452">
        <f t="shared" si="12"/>
        <v>1200000</v>
      </c>
      <c r="I133" s="454">
        <v>1</v>
      </c>
      <c r="J133" s="455">
        <f t="shared" si="11"/>
        <v>221.58904109589042</v>
      </c>
      <c r="K133" s="439"/>
      <c r="L133" s="439"/>
      <c r="M133" s="439"/>
    </row>
    <row r="134" spans="2:13" ht="15.75">
      <c r="B134" s="448">
        <v>46477</v>
      </c>
      <c r="C134" s="449">
        <f t="shared" si="9"/>
        <v>0.0589</v>
      </c>
      <c r="D134" s="450">
        <f t="shared" si="10"/>
        <v>0.0085</v>
      </c>
      <c r="E134" s="451">
        <f t="shared" si="8"/>
        <v>0.0674</v>
      </c>
      <c r="F134" s="452"/>
      <c r="G134" s="459"/>
      <c r="H134" s="452">
        <f t="shared" si="12"/>
        <v>1200000</v>
      </c>
      <c r="I134" s="454">
        <v>1</v>
      </c>
      <c r="J134" s="455">
        <f t="shared" si="11"/>
        <v>221.58904109589042</v>
      </c>
      <c r="K134" s="439"/>
      <c r="L134" s="439"/>
      <c r="M134" s="439"/>
    </row>
    <row r="135" spans="2:13" ht="15.75">
      <c r="B135" s="448">
        <v>46507</v>
      </c>
      <c r="C135" s="449">
        <f t="shared" si="9"/>
        <v>0.0589</v>
      </c>
      <c r="D135" s="450">
        <f t="shared" si="10"/>
        <v>0.0085</v>
      </c>
      <c r="E135" s="451">
        <f t="shared" si="8"/>
        <v>0.0674</v>
      </c>
      <c r="F135" s="452"/>
      <c r="G135" s="459"/>
      <c r="H135" s="452">
        <f t="shared" si="12"/>
        <v>1200000</v>
      </c>
      <c r="I135" s="454">
        <v>30</v>
      </c>
      <c r="J135" s="455">
        <f t="shared" si="11"/>
        <v>6647.671232876713</v>
      </c>
      <c r="K135" s="439"/>
      <c r="L135" s="439"/>
      <c r="M135" s="439"/>
    </row>
    <row r="136" spans="2:13" ht="15.75">
      <c r="B136" s="461">
        <v>46538</v>
      </c>
      <c r="C136" s="449">
        <f t="shared" si="9"/>
        <v>0.0589</v>
      </c>
      <c r="D136" s="450">
        <f t="shared" si="10"/>
        <v>0.0085</v>
      </c>
      <c r="E136" s="451">
        <f t="shared" si="8"/>
        <v>0.0674</v>
      </c>
      <c r="F136" s="452"/>
      <c r="G136" s="459"/>
      <c r="H136" s="452">
        <f t="shared" si="12"/>
        <v>1200000</v>
      </c>
      <c r="I136" s="454">
        <v>31</v>
      </c>
      <c r="J136" s="455">
        <f t="shared" si="11"/>
        <v>6869.260273972603</v>
      </c>
      <c r="K136" s="439"/>
      <c r="L136" s="439"/>
      <c r="M136" s="439"/>
    </row>
    <row r="137" spans="2:13" ht="15.75">
      <c r="B137" s="461">
        <v>46567</v>
      </c>
      <c r="C137" s="449">
        <f t="shared" si="9"/>
        <v>0.0589</v>
      </c>
      <c r="D137" s="450">
        <f t="shared" si="10"/>
        <v>0.0085</v>
      </c>
      <c r="E137" s="451">
        <f t="shared" si="8"/>
        <v>0.0674</v>
      </c>
      <c r="F137" s="452"/>
      <c r="G137" s="459"/>
      <c r="H137" s="452">
        <f t="shared" si="12"/>
        <v>1200000</v>
      </c>
      <c r="I137" s="508">
        <v>29</v>
      </c>
      <c r="J137" s="455">
        <f t="shared" si="11"/>
        <v>6426.082191780822</v>
      </c>
      <c r="K137" s="439"/>
      <c r="L137" s="439"/>
      <c r="M137" s="439"/>
    </row>
    <row r="138" spans="2:13" ht="15.75">
      <c r="B138" s="458">
        <v>46568</v>
      </c>
      <c r="C138" s="449">
        <f t="shared" si="9"/>
        <v>0.0589</v>
      </c>
      <c r="D138" s="450">
        <f t="shared" si="10"/>
        <v>0.0085</v>
      </c>
      <c r="E138" s="451">
        <f t="shared" si="8"/>
        <v>0.0674</v>
      </c>
      <c r="F138" s="452"/>
      <c r="G138" s="459"/>
      <c r="H138" s="452">
        <f t="shared" si="12"/>
        <v>1200000</v>
      </c>
      <c r="I138" s="454">
        <v>1</v>
      </c>
      <c r="J138" s="455">
        <f t="shared" si="11"/>
        <v>221.58904109589042</v>
      </c>
      <c r="K138" s="439"/>
      <c r="L138" s="439"/>
      <c r="M138" s="439"/>
    </row>
    <row r="139" spans="2:13" ht="15.75">
      <c r="B139" s="448">
        <v>46599</v>
      </c>
      <c r="C139" s="449">
        <f t="shared" si="9"/>
        <v>0.0589</v>
      </c>
      <c r="D139" s="450">
        <f t="shared" si="10"/>
        <v>0.0085</v>
      </c>
      <c r="E139" s="451">
        <f t="shared" si="8"/>
        <v>0.0674</v>
      </c>
      <c r="F139" s="452"/>
      <c r="G139" s="459"/>
      <c r="H139" s="452">
        <f t="shared" si="12"/>
        <v>1200000</v>
      </c>
      <c r="I139" s="454">
        <v>31</v>
      </c>
      <c r="J139" s="455">
        <f t="shared" si="11"/>
        <v>6869.260273972603</v>
      </c>
      <c r="K139" s="439"/>
      <c r="L139" s="439"/>
      <c r="M139" s="439"/>
    </row>
    <row r="140" spans="2:13" ht="15.75">
      <c r="B140" s="448">
        <v>46630</v>
      </c>
      <c r="C140" s="449">
        <f t="shared" si="9"/>
        <v>0.0589</v>
      </c>
      <c r="D140" s="450">
        <f t="shared" si="10"/>
        <v>0.0085</v>
      </c>
      <c r="E140" s="451">
        <f t="shared" si="8"/>
        <v>0.0674</v>
      </c>
      <c r="F140" s="452"/>
      <c r="G140" s="459"/>
      <c r="H140" s="452">
        <f t="shared" si="12"/>
        <v>1200000</v>
      </c>
      <c r="I140" s="508">
        <v>31</v>
      </c>
      <c r="J140" s="455">
        <f t="shared" si="11"/>
        <v>6869.260273972603</v>
      </c>
      <c r="K140" s="439"/>
      <c r="L140" s="439"/>
      <c r="M140" s="439"/>
    </row>
    <row r="141" spans="2:13" ht="15.75">
      <c r="B141" s="448">
        <v>46659</v>
      </c>
      <c r="C141" s="449">
        <f t="shared" si="9"/>
        <v>0.0589</v>
      </c>
      <c r="D141" s="450">
        <f t="shared" si="10"/>
        <v>0.0085</v>
      </c>
      <c r="E141" s="451">
        <f t="shared" si="8"/>
        <v>0.0674</v>
      </c>
      <c r="F141" s="511"/>
      <c r="G141" s="512"/>
      <c r="H141" s="452">
        <f t="shared" si="12"/>
        <v>1200000</v>
      </c>
      <c r="I141" s="454">
        <v>29</v>
      </c>
      <c r="J141" s="455">
        <f t="shared" si="11"/>
        <v>6426.082191780822</v>
      </c>
      <c r="K141" s="439"/>
      <c r="L141" s="439"/>
      <c r="M141" s="439"/>
    </row>
    <row r="142" spans="2:13" ht="15.75">
      <c r="B142" s="458">
        <v>46660</v>
      </c>
      <c r="C142" s="449">
        <f t="shared" si="9"/>
        <v>0.0589</v>
      </c>
      <c r="D142" s="450">
        <f t="shared" si="10"/>
        <v>0.0085</v>
      </c>
      <c r="E142" s="451">
        <f t="shared" si="8"/>
        <v>0.0674</v>
      </c>
      <c r="F142" s="452"/>
      <c r="G142" s="459"/>
      <c r="H142" s="452">
        <f t="shared" si="12"/>
        <v>1200000</v>
      </c>
      <c r="I142" s="454">
        <v>1</v>
      </c>
      <c r="J142" s="455">
        <f t="shared" si="11"/>
        <v>221.58904109589042</v>
      </c>
      <c r="K142" s="439"/>
      <c r="L142" s="439"/>
      <c r="M142" s="439"/>
    </row>
    <row r="143" spans="2:13" ht="15.75">
      <c r="B143" s="461">
        <v>46691</v>
      </c>
      <c r="C143" s="449">
        <f t="shared" si="9"/>
        <v>0.0589</v>
      </c>
      <c r="D143" s="450">
        <f t="shared" si="10"/>
        <v>0.0085</v>
      </c>
      <c r="E143" s="451">
        <f t="shared" si="8"/>
        <v>0.0674</v>
      </c>
      <c r="F143" s="452"/>
      <c r="G143" s="459"/>
      <c r="H143" s="452">
        <f t="shared" si="12"/>
        <v>1200000</v>
      </c>
      <c r="I143" s="508">
        <v>31</v>
      </c>
      <c r="J143" s="455">
        <f t="shared" si="11"/>
        <v>6869.260273972603</v>
      </c>
      <c r="K143" s="438"/>
      <c r="L143" s="439"/>
      <c r="M143" s="439"/>
    </row>
    <row r="144" spans="2:13" ht="15.75">
      <c r="B144" s="461">
        <v>46721</v>
      </c>
      <c r="C144" s="449">
        <f t="shared" si="9"/>
        <v>0.0589</v>
      </c>
      <c r="D144" s="450">
        <f t="shared" si="10"/>
        <v>0.0085</v>
      </c>
      <c r="E144" s="451">
        <f t="shared" si="8"/>
        <v>0.0674</v>
      </c>
      <c r="F144" s="452"/>
      <c r="G144" s="459"/>
      <c r="H144" s="452">
        <f t="shared" si="12"/>
        <v>1200000</v>
      </c>
      <c r="I144" s="508">
        <v>30</v>
      </c>
      <c r="J144" s="455">
        <f t="shared" si="11"/>
        <v>6647.671232876713</v>
      </c>
      <c r="K144" s="439"/>
      <c r="L144" s="439"/>
      <c r="M144" s="439"/>
    </row>
    <row r="145" spans="2:13" ht="15.75">
      <c r="B145" s="461">
        <v>46750</v>
      </c>
      <c r="C145" s="449">
        <f t="shared" si="9"/>
        <v>0.0589</v>
      </c>
      <c r="D145" s="450">
        <f t="shared" si="10"/>
        <v>0.0085</v>
      </c>
      <c r="E145" s="451">
        <f t="shared" si="8"/>
        <v>0.0674</v>
      </c>
      <c r="F145" s="452"/>
      <c r="G145" s="459"/>
      <c r="H145" s="452">
        <f t="shared" si="12"/>
        <v>1200000</v>
      </c>
      <c r="I145" s="508">
        <v>29</v>
      </c>
      <c r="J145" s="455">
        <f t="shared" si="11"/>
        <v>6426.082191780822</v>
      </c>
      <c r="K145" s="439"/>
      <c r="L145" s="439"/>
      <c r="M145" s="439"/>
    </row>
    <row r="146" spans="2:13" ht="15.75">
      <c r="B146" s="458">
        <v>46751</v>
      </c>
      <c r="C146" s="449">
        <f t="shared" si="9"/>
        <v>0.0589</v>
      </c>
      <c r="D146" s="450">
        <f t="shared" si="10"/>
        <v>0.0085</v>
      </c>
      <c r="E146" s="451">
        <f t="shared" si="8"/>
        <v>0.0674</v>
      </c>
      <c r="F146" s="452"/>
      <c r="G146" s="459"/>
      <c r="H146" s="452">
        <f t="shared" si="12"/>
        <v>1200000</v>
      </c>
      <c r="I146" s="508">
        <v>1</v>
      </c>
      <c r="J146" s="455">
        <f t="shared" si="11"/>
        <v>221.58904109589042</v>
      </c>
      <c r="K146" s="439"/>
      <c r="L146" s="439"/>
      <c r="M146" s="439"/>
    </row>
    <row r="147" spans="2:13" ht="15.75">
      <c r="B147" s="517">
        <v>46752</v>
      </c>
      <c r="C147" s="518">
        <f t="shared" si="9"/>
        <v>0.0589</v>
      </c>
      <c r="D147" s="519">
        <f t="shared" si="10"/>
        <v>0.0085</v>
      </c>
      <c r="E147" s="520">
        <f t="shared" si="8"/>
        <v>0.0674</v>
      </c>
      <c r="F147" s="521"/>
      <c r="G147" s="522"/>
      <c r="H147" s="521">
        <f t="shared" si="12"/>
        <v>1200000</v>
      </c>
      <c r="I147" s="523">
        <v>1</v>
      </c>
      <c r="J147" s="524">
        <f t="shared" si="11"/>
        <v>221.58904109589042</v>
      </c>
      <c r="K147" s="439"/>
      <c r="L147" s="439"/>
      <c r="M147" s="439"/>
    </row>
    <row r="148" spans="2:13" ht="15.75">
      <c r="B148" s="479">
        <v>46783</v>
      </c>
      <c r="C148" s="421">
        <f t="shared" si="9"/>
        <v>0.0589</v>
      </c>
      <c r="D148" s="422">
        <f t="shared" si="10"/>
        <v>0.0085</v>
      </c>
      <c r="E148" s="423">
        <f aca="true" t="shared" si="13" ref="E148:E211">C148+D148</f>
        <v>0.0674</v>
      </c>
      <c r="F148" s="426"/>
      <c r="G148" s="425"/>
      <c r="H148" s="426">
        <f t="shared" si="12"/>
        <v>1200000</v>
      </c>
      <c r="I148" s="427">
        <v>31</v>
      </c>
      <c r="J148" s="428">
        <f t="shared" si="11"/>
        <v>6869.260273972603</v>
      </c>
      <c r="K148" s="438">
        <f>SUM(J148:J165)</f>
        <v>70871.56164383562</v>
      </c>
      <c r="L148" s="439" t="s">
        <v>201</v>
      </c>
      <c r="M148" s="439"/>
    </row>
    <row r="149" spans="2:13" ht="15.75">
      <c r="B149" s="481">
        <v>46812</v>
      </c>
      <c r="C149" s="482">
        <f aca="true" t="shared" si="14" ref="C149:C212">C148</f>
        <v>0.0589</v>
      </c>
      <c r="D149" s="483">
        <f aca="true" t="shared" si="15" ref="D149:D212">D148</f>
        <v>0.0085</v>
      </c>
      <c r="E149" s="484">
        <f t="shared" si="13"/>
        <v>0.0674</v>
      </c>
      <c r="F149" s="485"/>
      <c r="G149" s="489"/>
      <c r="H149" s="485">
        <f t="shared" si="12"/>
        <v>1200000</v>
      </c>
      <c r="I149" s="487">
        <v>29</v>
      </c>
      <c r="J149" s="488">
        <f t="shared" si="11"/>
        <v>6426.082191780822</v>
      </c>
      <c r="K149" s="439"/>
      <c r="L149" s="439"/>
      <c r="M149" s="439"/>
    </row>
    <row r="150" spans="2:13" ht="15.75">
      <c r="B150" s="481">
        <v>46841</v>
      </c>
      <c r="C150" s="482">
        <f t="shared" si="14"/>
        <v>0.0589</v>
      </c>
      <c r="D150" s="483">
        <f t="shared" si="15"/>
        <v>0.0085</v>
      </c>
      <c r="E150" s="484">
        <f t="shared" si="13"/>
        <v>0.0674</v>
      </c>
      <c r="F150" s="485"/>
      <c r="G150" s="489"/>
      <c r="H150" s="485">
        <f t="shared" si="12"/>
        <v>1200000</v>
      </c>
      <c r="I150" s="487">
        <v>29</v>
      </c>
      <c r="J150" s="488">
        <f t="shared" si="11"/>
        <v>6426.082191780822</v>
      </c>
      <c r="K150" s="439"/>
      <c r="L150" s="439"/>
      <c r="M150" s="439"/>
    </row>
    <row r="151" spans="2:13" ht="15.75">
      <c r="B151" s="490">
        <v>46842</v>
      </c>
      <c r="C151" s="482">
        <f t="shared" si="14"/>
        <v>0.0589</v>
      </c>
      <c r="D151" s="483">
        <f t="shared" si="15"/>
        <v>0.0085</v>
      </c>
      <c r="E151" s="484">
        <f t="shared" si="13"/>
        <v>0.0674</v>
      </c>
      <c r="F151" s="485"/>
      <c r="G151" s="489">
        <v>200000</v>
      </c>
      <c r="H151" s="485">
        <f t="shared" si="12"/>
        <v>1000000</v>
      </c>
      <c r="I151" s="487">
        <v>1</v>
      </c>
      <c r="J151" s="488">
        <f t="shared" si="11"/>
        <v>184.65753424657535</v>
      </c>
      <c r="K151" s="439"/>
      <c r="L151" s="439"/>
      <c r="M151" s="439"/>
    </row>
    <row r="152" spans="2:13" ht="15.75">
      <c r="B152" s="481">
        <v>46843</v>
      </c>
      <c r="C152" s="482">
        <f t="shared" si="14"/>
        <v>0.0589</v>
      </c>
      <c r="D152" s="483">
        <f t="shared" si="15"/>
        <v>0.0085</v>
      </c>
      <c r="E152" s="484">
        <f t="shared" si="13"/>
        <v>0.0674</v>
      </c>
      <c r="F152" s="485"/>
      <c r="G152" s="489"/>
      <c r="H152" s="485">
        <f t="shared" si="12"/>
        <v>1000000</v>
      </c>
      <c r="I152" s="487">
        <v>1</v>
      </c>
      <c r="J152" s="488">
        <f t="shared" si="11"/>
        <v>184.65753424657535</v>
      </c>
      <c r="K152" s="439"/>
      <c r="L152" s="439"/>
      <c r="M152" s="439"/>
    </row>
    <row r="153" spans="2:13" ht="15.75">
      <c r="B153" s="481">
        <v>46873</v>
      </c>
      <c r="C153" s="482">
        <f t="shared" si="14"/>
        <v>0.0589</v>
      </c>
      <c r="D153" s="483">
        <f t="shared" si="15"/>
        <v>0.0085</v>
      </c>
      <c r="E153" s="484">
        <f t="shared" si="13"/>
        <v>0.0674</v>
      </c>
      <c r="F153" s="485"/>
      <c r="G153" s="489"/>
      <c r="H153" s="485">
        <f t="shared" si="12"/>
        <v>1000000</v>
      </c>
      <c r="I153" s="487">
        <v>30</v>
      </c>
      <c r="J153" s="488">
        <f t="shared" si="11"/>
        <v>5539.726027397261</v>
      </c>
      <c r="K153" s="439"/>
      <c r="L153" s="439"/>
      <c r="M153" s="439"/>
    </row>
    <row r="154" spans="2:13" ht="15.75">
      <c r="B154" s="491">
        <v>46904</v>
      </c>
      <c r="C154" s="482">
        <f t="shared" si="14"/>
        <v>0.0589</v>
      </c>
      <c r="D154" s="483">
        <f t="shared" si="15"/>
        <v>0.0085</v>
      </c>
      <c r="E154" s="484">
        <f t="shared" si="13"/>
        <v>0.0674</v>
      </c>
      <c r="F154" s="485"/>
      <c r="G154" s="489"/>
      <c r="H154" s="485">
        <f t="shared" si="12"/>
        <v>1000000</v>
      </c>
      <c r="I154" s="487">
        <v>31</v>
      </c>
      <c r="J154" s="488">
        <f t="shared" si="11"/>
        <v>5724.3835616438355</v>
      </c>
      <c r="K154" s="439"/>
      <c r="L154" s="439"/>
      <c r="M154" s="439"/>
    </row>
    <row r="155" spans="2:13" ht="15.75">
      <c r="B155" s="491">
        <v>46933</v>
      </c>
      <c r="C155" s="482">
        <f t="shared" si="14"/>
        <v>0.0589</v>
      </c>
      <c r="D155" s="483">
        <f t="shared" si="15"/>
        <v>0.0085</v>
      </c>
      <c r="E155" s="484">
        <f t="shared" si="13"/>
        <v>0.0674</v>
      </c>
      <c r="F155" s="498"/>
      <c r="G155" s="531"/>
      <c r="H155" s="485">
        <f t="shared" si="12"/>
        <v>1000000</v>
      </c>
      <c r="I155" s="493">
        <v>29</v>
      </c>
      <c r="J155" s="488">
        <f t="shared" si="11"/>
        <v>5355.068493150685</v>
      </c>
      <c r="K155" s="439"/>
      <c r="L155" s="439"/>
      <c r="M155" s="439"/>
    </row>
    <row r="156" spans="2:13" ht="15.75">
      <c r="B156" s="490">
        <v>46934</v>
      </c>
      <c r="C156" s="482">
        <f t="shared" si="14"/>
        <v>0.0589</v>
      </c>
      <c r="D156" s="483">
        <f t="shared" si="15"/>
        <v>0.0085</v>
      </c>
      <c r="E156" s="484">
        <f t="shared" si="13"/>
        <v>0.0674</v>
      </c>
      <c r="F156" s="485"/>
      <c r="G156" s="489"/>
      <c r="H156" s="485">
        <f t="shared" si="12"/>
        <v>1000000</v>
      </c>
      <c r="I156" s="487">
        <v>1</v>
      </c>
      <c r="J156" s="488">
        <f t="shared" si="11"/>
        <v>184.65753424657535</v>
      </c>
      <c r="K156" s="439"/>
      <c r="L156" s="439"/>
      <c r="M156" s="439"/>
    </row>
    <row r="157" spans="2:13" ht="15.75">
      <c r="B157" s="481">
        <v>46965</v>
      </c>
      <c r="C157" s="482">
        <f t="shared" si="14"/>
        <v>0.0589</v>
      </c>
      <c r="D157" s="483">
        <f t="shared" si="15"/>
        <v>0.0085</v>
      </c>
      <c r="E157" s="484">
        <f t="shared" si="13"/>
        <v>0.0674</v>
      </c>
      <c r="F157" s="485"/>
      <c r="G157" s="489"/>
      <c r="H157" s="485">
        <f t="shared" si="12"/>
        <v>1000000</v>
      </c>
      <c r="I157" s="487">
        <v>31</v>
      </c>
      <c r="J157" s="488">
        <f t="shared" si="11"/>
        <v>5724.3835616438355</v>
      </c>
      <c r="K157" s="438"/>
      <c r="L157" s="439"/>
      <c r="M157" s="439"/>
    </row>
    <row r="158" spans="2:13" ht="15.75">
      <c r="B158" s="481">
        <v>46996</v>
      </c>
      <c r="C158" s="482">
        <f t="shared" si="14"/>
        <v>0.0589</v>
      </c>
      <c r="D158" s="483">
        <f t="shared" si="15"/>
        <v>0.0085</v>
      </c>
      <c r="E158" s="484">
        <f t="shared" si="13"/>
        <v>0.0674</v>
      </c>
      <c r="F158" s="485"/>
      <c r="G158" s="489"/>
      <c r="H158" s="485">
        <f t="shared" si="12"/>
        <v>1000000</v>
      </c>
      <c r="I158" s="493">
        <v>31</v>
      </c>
      <c r="J158" s="488">
        <f aca="true" t="shared" si="16" ref="J158:J221">H158*E158*I158/365</f>
        <v>5724.3835616438355</v>
      </c>
      <c r="K158" s="439"/>
      <c r="L158" s="439"/>
      <c r="M158" s="439"/>
    </row>
    <row r="159" spans="2:13" ht="15.75">
      <c r="B159" s="481">
        <v>47025</v>
      </c>
      <c r="C159" s="482">
        <f t="shared" si="14"/>
        <v>0.0589</v>
      </c>
      <c r="D159" s="483">
        <f t="shared" si="15"/>
        <v>0.0085</v>
      </c>
      <c r="E159" s="484">
        <f t="shared" si="13"/>
        <v>0.0674</v>
      </c>
      <c r="F159" s="485"/>
      <c r="G159" s="489"/>
      <c r="H159" s="485">
        <f t="shared" si="12"/>
        <v>1000000</v>
      </c>
      <c r="I159" s="487">
        <v>29</v>
      </c>
      <c r="J159" s="488">
        <f t="shared" si="16"/>
        <v>5355.068493150685</v>
      </c>
      <c r="K159" s="439"/>
      <c r="L159" s="439"/>
      <c r="M159" s="439"/>
    </row>
    <row r="160" spans="2:13" ht="15.75">
      <c r="B160" s="490">
        <v>47026</v>
      </c>
      <c r="C160" s="482">
        <f t="shared" si="14"/>
        <v>0.0589</v>
      </c>
      <c r="D160" s="483">
        <f t="shared" si="15"/>
        <v>0.0085</v>
      </c>
      <c r="E160" s="484">
        <f t="shared" si="13"/>
        <v>0.0674</v>
      </c>
      <c r="F160" s="485"/>
      <c r="G160" s="489"/>
      <c r="H160" s="485">
        <f t="shared" si="12"/>
        <v>1000000</v>
      </c>
      <c r="I160" s="487">
        <v>1</v>
      </c>
      <c r="J160" s="488">
        <f t="shared" si="16"/>
        <v>184.65753424657535</v>
      </c>
      <c r="K160" s="439"/>
      <c r="L160" s="439"/>
      <c r="M160" s="439"/>
    </row>
    <row r="161" spans="2:13" ht="15.75">
      <c r="B161" s="491">
        <v>47057</v>
      </c>
      <c r="C161" s="482">
        <f t="shared" si="14"/>
        <v>0.0589</v>
      </c>
      <c r="D161" s="483">
        <f t="shared" si="15"/>
        <v>0.0085</v>
      </c>
      <c r="E161" s="484">
        <f t="shared" si="13"/>
        <v>0.0674</v>
      </c>
      <c r="F161" s="485"/>
      <c r="G161" s="489"/>
      <c r="H161" s="485">
        <f t="shared" si="12"/>
        <v>1000000</v>
      </c>
      <c r="I161" s="493">
        <v>31</v>
      </c>
      <c r="J161" s="488">
        <f t="shared" si="16"/>
        <v>5724.3835616438355</v>
      </c>
      <c r="K161" s="439"/>
      <c r="L161" s="439"/>
      <c r="M161" s="439"/>
    </row>
    <row r="162" spans="2:13" ht="15.75">
      <c r="B162" s="491">
        <v>47087</v>
      </c>
      <c r="C162" s="482">
        <f t="shared" si="14"/>
        <v>0.0589</v>
      </c>
      <c r="D162" s="483">
        <f t="shared" si="15"/>
        <v>0.0085</v>
      </c>
      <c r="E162" s="484">
        <f t="shared" si="13"/>
        <v>0.0674</v>
      </c>
      <c r="F162" s="485"/>
      <c r="G162" s="489"/>
      <c r="H162" s="485">
        <f t="shared" si="12"/>
        <v>1000000</v>
      </c>
      <c r="I162" s="493">
        <v>30</v>
      </c>
      <c r="J162" s="488">
        <f t="shared" si="16"/>
        <v>5539.726027397261</v>
      </c>
      <c r="K162" s="439"/>
      <c r="L162" s="439"/>
      <c r="M162" s="439"/>
    </row>
    <row r="163" spans="2:13" ht="15.75">
      <c r="B163" s="491">
        <v>47116</v>
      </c>
      <c r="C163" s="482">
        <f t="shared" si="14"/>
        <v>0.0589</v>
      </c>
      <c r="D163" s="483">
        <f t="shared" si="15"/>
        <v>0.0085</v>
      </c>
      <c r="E163" s="484">
        <f t="shared" si="13"/>
        <v>0.0674</v>
      </c>
      <c r="F163" s="485"/>
      <c r="G163" s="489"/>
      <c r="H163" s="485">
        <f t="shared" si="12"/>
        <v>1000000</v>
      </c>
      <c r="I163" s="493">
        <v>29</v>
      </c>
      <c r="J163" s="488">
        <f t="shared" si="16"/>
        <v>5355.068493150685</v>
      </c>
      <c r="K163" s="439"/>
      <c r="L163" s="439"/>
      <c r="M163" s="439"/>
    </row>
    <row r="164" spans="2:13" ht="15.75">
      <c r="B164" s="490">
        <v>47117</v>
      </c>
      <c r="C164" s="482">
        <f t="shared" si="14"/>
        <v>0.0589</v>
      </c>
      <c r="D164" s="483">
        <f t="shared" si="15"/>
        <v>0.0085</v>
      </c>
      <c r="E164" s="484">
        <f t="shared" si="13"/>
        <v>0.0674</v>
      </c>
      <c r="F164" s="485"/>
      <c r="G164" s="489"/>
      <c r="H164" s="485">
        <f t="shared" si="12"/>
        <v>1000000</v>
      </c>
      <c r="I164" s="493">
        <v>1</v>
      </c>
      <c r="J164" s="488">
        <f t="shared" si="16"/>
        <v>184.65753424657535</v>
      </c>
      <c r="K164" s="439"/>
      <c r="L164" s="439"/>
      <c r="M164" s="439"/>
    </row>
    <row r="165" spans="2:13" ht="15.75">
      <c r="B165" s="430">
        <v>47118</v>
      </c>
      <c r="C165" s="431">
        <f t="shared" si="14"/>
        <v>0.0589</v>
      </c>
      <c r="D165" s="432">
        <f t="shared" si="15"/>
        <v>0.0085</v>
      </c>
      <c r="E165" s="433">
        <f t="shared" si="13"/>
        <v>0.0674</v>
      </c>
      <c r="F165" s="434"/>
      <c r="G165" s="534"/>
      <c r="H165" s="434">
        <f t="shared" si="12"/>
        <v>1000000</v>
      </c>
      <c r="I165" s="436">
        <v>1</v>
      </c>
      <c r="J165" s="437">
        <f t="shared" si="16"/>
        <v>184.65753424657535</v>
      </c>
      <c r="K165" s="439"/>
      <c r="L165" s="439"/>
      <c r="M165" s="439"/>
    </row>
    <row r="166" spans="1:13" ht="15.75">
      <c r="A166" s="412"/>
      <c r="B166" s="440">
        <v>47149</v>
      </c>
      <c r="C166" s="441">
        <f t="shared" si="14"/>
        <v>0.0589</v>
      </c>
      <c r="D166" s="442">
        <f t="shared" si="15"/>
        <v>0.0085</v>
      </c>
      <c r="E166" s="443">
        <f t="shared" si="13"/>
        <v>0.0674</v>
      </c>
      <c r="F166" s="444"/>
      <c r="G166" s="506"/>
      <c r="H166" s="444">
        <f t="shared" si="12"/>
        <v>1000000</v>
      </c>
      <c r="I166" s="446">
        <v>31</v>
      </c>
      <c r="J166" s="447">
        <f t="shared" si="16"/>
        <v>5724.3835616438355</v>
      </c>
      <c r="K166" s="551">
        <f>SUM(J166:J183)</f>
        <v>57169.97260273971</v>
      </c>
      <c r="L166" s="553"/>
      <c r="M166" s="439"/>
    </row>
    <row r="167" spans="1:13" ht="15.75">
      <c r="A167" s="412"/>
      <c r="B167" s="448">
        <v>47177</v>
      </c>
      <c r="C167" s="449">
        <f t="shared" si="14"/>
        <v>0.0589</v>
      </c>
      <c r="D167" s="450">
        <f t="shared" si="15"/>
        <v>0.0085</v>
      </c>
      <c r="E167" s="451">
        <f t="shared" si="13"/>
        <v>0.0674</v>
      </c>
      <c r="F167" s="452"/>
      <c r="G167" s="459"/>
      <c r="H167" s="452">
        <f t="shared" si="12"/>
        <v>1000000</v>
      </c>
      <c r="I167" s="454">
        <v>28</v>
      </c>
      <c r="J167" s="455">
        <f t="shared" si="16"/>
        <v>5170.41095890411</v>
      </c>
      <c r="K167" s="552"/>
      <c r="L167" s="553"/>
      <c r="M167" s="439"/>
    </row>
    <row r="168" spans="1:13" ht="15.75">
      <c r="A168" s="412"/>
      <c r="B168" s="448">
        <v>47206</v>
      </c>
      <c r="C168" s="449">
        <f t="shared" si="14"/>
        <v>0.0589</v>
      </c>
      <c r="D168" s="450">
        <f t="shared" si="15"/>
        <v>0.0085</v>
      </c>
      <c r="E168" s="451">
        <f t="shared" si="13"/>
        <v>0.0674</v>
      </c>
      <c r="F168" s="452"/>
      <c r="G168" s="459"/>
      <c r="H168" s="452">
        <f t="shared" si="12"/>
        <v>1000000</v>
      </c>
      <c r="I168" s="454">
        <v>29</v>
      </c>
      <c r="J168" s="455">
        <f t="shared" si="16"/>
        <v>5355.068493150685</v>
      </c>
      <c r="K168" s="553"/>
      <c r="L168" s="553"/>
      <c r="M168" s="439"/>
    </row>
    <row r="169" spans="1:13" ht="15.75">
      <c r="A169" s="412"/>
      <c r="B169" s="458">
        <v>47207</v>
      </c>
      <c r="C169" s="449">
        <f t="shared" si="14"/>
        <v>0.0589</v>
      </c>
      <c r="D169" s="450">
        <f t="shared" si="15"/>
        <v>0.0085</v>
      </c>
      <c r="E169" s="451">
        <f t="shared" si="13"/>
        <v>0.0674</v>
      </c>
      <c r="F169" s="452"/>
      <c r="G169" s="459">
        <v>200000</v>
      </c>
      <c r="H169" s="452">
        <f t="shared" si="12"/>
        <v>800000</v>
      </c>
      <c r="I169" s="454">
        <v>1</v>
      </c>
      <c r="J169" s="455">
        <f t="shared" si="16"/>
        <v>147.72602739726028</v>
      </c>
      <c r="K169" s="553"/>
      <c r="L169" s="553"/>
      <c r="M169" s="439"/>
    </row>
    <row r="170" spans="1:13" ht="15.75">
      <c r="A170" s="412"/>
      <c r="B170" s="448">
        <v>47208</v>
      </c>
      <c r="C170" s="449">
        <f t="shared" si="14"/>
        <v>0.0589</v>
      </c>
      <c r="D170" s="450">
        <f t="shared" si="15"/>
        <v>0.0085</v>
      </c>
      <c r="E170" s="451">
        <f t="shared" si="13"/>
        <v>0.0674</v>
      </c>
      <c r="F170" s="452"/>
      <c r="G170" s="459"/>
      <c r="H170" s="452">
        <f t="shared" si="12"/>
        <v>800000</v>
      </c>
      <c r="I170" s="454">
        <v>1</v>
      </c>
      <c r="J170" s="455">
        <f t="shared" si="16"/>
        <v>147.72602739726028</v>
      </c>
      <c r="K170" s="553"/>
      <c r="L170" s="553"/>
      <c r="M170" s="439"/>
    </row>
    <row r="171" spans="1:13" ht="15.75">
      <c r="A171" s="412"/>
      <c r="B171" s="448">
        <v>47238</v>
      </c>
      <c r="C171" s="449">
        <f t="shared" si="14"/>
        <v>0.0589</v>
      </c>
      <c r="D171" s="450">
        <f t="shared" si="15"/>
        <v>0.0085</v>
      </c>
      <c r="E171" s="451">
        <f t="shared" si="13"/>
        <v>0.0674</v>
      </c>
      <c r="F171" s="452"/>
      <c r="G171" s="459"/>
      <c r="H171" s="452">
        <f t="shared" si="12"/>
        <v>800000</v>
      </c>
      <c r="I171" s="454">
        <v>30</v>
      </c>
      <c r="J171" s="455">
        <f t="shared" si="16"/>
        <v>4431.780821917808</v>
      </c>
      <c r="K171" s="553"/>
      <c r="L171" s="553"/>
      <c r="M171" s="439"/>
    </row>
    <row r="172" spans="1:13" ht="15.75">
      <c r="A172" s="412"/>
      <c r="B172" s="461">
        <v>47269</v>
      </c>
      <c r="C172" s="449">
        <f t="shared" si="14"/>
        <v>0.0589</v>
      </c>
      <c r="D172" s="450">
        <f t="shared" si="15"/>
        <v>0.0085</v>
      </c>
      <c r="E172" s="451">
        <f t="shared" si="13"/>
        <v>0.0674</v>
      </c>
      <c r="F172" s="452"/>
      <c r="G172" s="459"/>
      <c r="H172" s="452">
        <f t="shared" si="12"/>
        <v>800000</v>
      </c>
      <c r="I172" s="454">
        <v>31</v>
      </c>
      <c r="J172" s="455">
        <f t="shared" si="16"/>
        <v>4579.506849315068</v>
      </c>
      <c r="K172" s="553"/>
      <c r="L172" s="553"/>
      <c r="M172" s="439"/>
    </row>
    <row r="173" spans="1:13" ht="15.75">
      <c r="A173" s="412"/>
      <c r="B173" s="461">
        <v>47298</v>
      </c>
      <c r="C173" s="449">
        <f t="shared" si="14"/>
        <v>0.0589</v>
      </c>
      <c r="D173" s="450">
        <f t="shared" si="15"/>
        <v>0.0085</v>
      </c>
      <c r="E173" s="451">
        <f t="shared" si="13"/>
        <v>0.0674</v>
      </c>
      <c r="F173" s="511"/>
      <c r="G173" s="512"/>
      <c r="H173" s="452">
        <f t="shared" si="12"/>
        <v>800000</v>
      </c>
      <c r="I173" s="508">
        <v>29</v>
      </c>
      <c r="J173" s="455">
        <f t="shared" si="16"/>
        <v>4284.054794520548</v>
      </c>
      <c r="K173" s="553"/>
      <c r="L173" s="553"/>
      <c r="M173" s="439"/>
    </row>
    <row r="174" spans="1:13" ht="15.75">
      <c r="A174" s="412"/>
      <c r="B174" s="458">
        <v>47299</v>
      </c>
      <c r="C174" s="449">
        <f t="shared" si="14"/>
        <v>0.0589</v>
      </c>
      <c r="D174" s="450">
        <f t="shared" si="15"/>
        <v>0.0085</v>
      </c>
      <c r="E174" s="451">
        <f t="shared" si="13"/>
        <v>0.0674</v>
      </c>
      <c r="F174" s="452"/>
      <c r="G174" s="459"/>
      <c r="H174" s="452">
        <f t="shared" si="12"/>
        <v>800000</v>
      </c>
      <c r="I174" s="454">
        <v>1</v>
      </c>
      <c r="J174" s="455">
        <f t="shared" si="16"/>
        <v>147.72602739726028</v>
      </c>
      <c r="K174" s="553"/>
      <c r="L174" s="553"/>
      <c r="M174" s="439"/>
    </row>
    <row r="175" spans="1:13" ht="15.75">
      <c r="A175" s="412"/>
      <c r="B175" s="448">
        <v>47330</v>
      </c>
      <c r="C175" s="449">
        <f t="shared" si="14"/>
        <v>0.0589</v>
      </c>
      <c r="D175" s="450">
        <f t="shared" si="15"/>
        <v>0.0085</v>
      </c>
      <c r="E175" s="451">
        <f t="shared" si="13"/>
        <v>0.0674</v>
      </c>
      <c r="F175" s="452"/>
      <c r="G175" s="459"/>
      <c r="H175" s="452">
        <f t="shared" si="12"/>
        <v>800000</v>
      </c>
      <c r="I175" s="454">
        <v>31</v>
      </c>
      <c r="J175" s="455">
        <f t="shared" si="16"/>
        <v>4579.506849315068</v>
      </c>
      <c r="K175" s="553"/>
      <c r="L175" s="553"/>
      <c r="M175" s="439"/>
    </row>
    <row r="176" spans="1:13" ht="15.75">
      <c r="A176" s="412"/>
      <c r="B176" s="448">
        <v>47361</v>
      </c>
      <c r="C176" s="449">
        <f t="shared" si="14"/>
        <v>0.0589</v>
      </c>
      <c r="D176" s="450">
        <f t="shared" si="15"/>
        <v>0.0085</v>
      </c>
      <c r="E176" s="451">
        <f t="shared" si="13"/>
        <v>0.0674</v>
      </c>
      <c r="F176" s="452"/>
      <c r="G176" s="459"/>
      <c r="H176" s="452">
        <f aca="true" t="shared" si="17" ref="H176:H239">H175-G176</f>
        <v>800000</v>
      </c>
      <c r="I176" s="508">
        <v>31</v>
      </c>
      <c r="J176" s="455">
        <f t="shared" si="16"/>
        <v>4579.506849315068</v>
      </c>
      <c r="K176" s="553"/>
      <c r="L176" s="553"/>
      <c r="M176" s="439"/>
    </row>
    <row r="177" spans="1:13" ht="15.75">
      <c r="A177" s="412"/>
      <c r="B177" s="448">
        <v>47390</v>
      </c>
      <c r="C177" s="449">
        <f t="shared" si="14"/>
        <v>0.0589</v>
      </c>
      <c r="D177" s="450">
        <f t="shared" si="15"/>
        <v>0.0085</v>
      </c>
      <c r="E177" s="451">
        <f t="shared" si="13"/>
        <v>0.0674</v>
      </c>
      <c r="F177" s="452"/>
      <c r="G177" s="459"/>
      <c r="H177" s="452">
        <f t="shared" si="17"/>
        <v>800000</v>
      </c>
      <c r="I177" s="454">
        <v>29</v>
      </c>
      <c r="J177" s="455">
        <f t="shared" si="16"/>
        <v>4284.054794520548</v>
      </c>
      <c r="K177" s="553"/>
      <c r="L177" s="553"/>
      <c r="M177" s="439"/>
    </row>
    <row r="178" spans="1:13" ht="15.75">
      <c r="A178" s="412"/>
      <c r="B178" s="458">
        <v>47391</v>
      </c>
      <c r="C178" s="449">
        <f t="shared" si="14"/>
        <v>0.0589</v>
      </c>
      <c r="D178" s="450">
        <f t="shared" si="15"/>
        <v>0.0085</v>
      </c>
      <c r="E178" s="451">
        <f t="shared" si="13"/>
        <v>0.0674</v>
      </c>
      <c r="F178" s="452"/>
      <c r="G178" s="459"/>
      <c r="H178" s="452">
        <f t="shared" si="17"/>
        <v>800000</v>
      </c>
      <c r="I178" s="454">
        <v>1</v>
      </c>
      <c r="J178" s="455">
        <f t="shared" si="16"/>
        <v>147.72602739726028</v>
      </c>
      <c r="K178" s="553"/>
      <c r="L178" s="553"/>
      <c r="M178" s="439"/>
    </row>
    <row r="179" spans="1:13" ht="15.75">
      <c r="A179" s="412"/>
      <c r="B179" s="461">
        <v>47422</v>
      </c>
      <c r="C179" s="449">
        <f t="shared" si="14"/>
        <v>0.0589</v>
      </c>
      <c r="D179" s="450">
        <f t="shared" si="15"/>
        <v>0.0085</v>
      </c>
      <c r="E179" s="451">
        <f t="shared" si="13"/>
        <v>0.0674</v>
      </c>
      <c r="F179" s="452"/>
      <c r="G179" s="459"/>
      <c r="H179" s="452">
        <f t="shared" si="17"/>
        <v>800000</v>
      </c>
      <c r="I179" s="508">
        <v>31</v>
      </c>
      <c r="J179" s="455">
        <f t="shared" si="16"/>
        <v>4579.506849315068</v>
      </c>
      <c r="K179" s="553"/>
      <c r="L179" s="553"/>
      <c r="M179" s="439"/>
    </row>
    <row r="180" spans="1:13" ht="15.75">
      <c r="A180" s="412"/>
      <c r="B180" s="461">
        <v>47452</v>
      </c>
      <c r="C180" s="449">
        <f t="shared" si="14"/>
        <v>0.0589</v>
      </c>
      <c r="D180" s="450">
        <f t="shared" si="15"/>
        <v>0.0085</v>
      </c>
      <c r="E180" s="451">
        <f t="shared" si="13"/>
        <v>0.0674</v>
      </c>
      <c r="F180" s="452"/>
      <c r="G180" s="459"/>
      <c r="H180" s="452">
        <f t="shared" si="17"/>
        <v>800000</v>
      </c>
      <c r="I180" s="508">
        <v>30</v>
      </c>
      <c r="J180" s="455">
        <f t="shared" si="16"/>
        <v>4431.780821917808</v>
      </c>
      <c r="K180" s="553"/>
      <c r="L180" s="553"/>
      <c r="M180" s="439"/>
    </row>
    <row r="181" spans="1:13" ht="15.75">
      <c r="A181" s="412"/>
      <c r="B181" s="461">
        <v>47481</v>
      </c>
      <c r="C181" s="449">
        <f t="shared" si="14"/>
        <v>0.0589</v>
      </c>
      <c r="D181" s="450">
        <f t="shared" si="15"/>
        <v>0.0085</v>
      </c>
      <c r="E181" s="451">
        <f t="shared" si="13"/>
        <v>0.0674</v>
      </c>
      <c r="F181" s="452"/>
      <c r="G181" s="459"/>
      <c r="H181" s="452">
        <f t="shared" si="17"/>
        <v>800000</v>
      </c>
      <c r="I181" s="508">
        <v>29</v>
      </c>
      <c r="J181" s="455">
        <f t="shared" si="16"/>
        <v>4284.054794520548</v>
      </c>
      <c r="K181" s="553"/>
      <c r="L181" s="553"/>
      <c r="M181" s="439"/>
    </row>
    <row r="182" spans="1:13" ht="15.75">
      <c r="A182" s="412"/>
      <c r="B182" s="458">
        <v>47482</v>
      </c>
      <c r="C182" s="449">
        <f t="shared" si="14"/>
        <v>0.0589</v>
      </c>
      <c r="D182" s="450">
        <f t="shared" si="15"/>
        <v>0.0085</v>
      </c>
      <c r="E182" s="451">
        <f t="shared" si="13"/>
        <v>0.0674</v>
      </c>
      <c r="F182" s="452"/>
      <c r="G182" s="459"/>
      <c r="H182" s="452">
        <f t="shared" si="17"/>
        <v>800000</v>
      </c>
      <c r="I182" s="508">
        <v>1</v>
      </c>
      <c r="J182" s="455">
        <f t="shared" si="16"/>
        <v>147.72602739726028</v>
      </c>
      <c r="K182" s="553"/>
      <c r="L182" s="553"/>
      <c r="M182" s="439"/>
    </row>
    <row r="183" spans="1:13" ht="15.75">
      <c r="A183" s="409"/>
      <c r="B183" s="469">
        <v>47483</v>
      </c>
      <c r="C183" s="470">
        <f t="shared" si="14"/>
        <v>0.0589</v>
      </c>
      <c r="D183" s="471">
        <f t="shared" si="15"/>
        <v>0.0085</v>
      </c>
      <c r="E183" s="472">
        <f t="shared" si="13"/>
        <v>0.0674</v>
      </c>
      <c r="F183" s="473"/>
      <c r="G183" s="554"/>
      <c r="H183" s="473">
        <f t="shared" si="17"/>
        <v>800000</v>
      </c>
      <c r="I183" s="475">
        <v>1</v>
      </c>
      <c r="J183" s="476">
        <f t="shared" si="16"/>
        <v>147.72602739726028</v>
      </c>
      <c r="K183" s="438"/>
      <c r="L183" s="439"/>
      <c r="M183" s="439"/>
    </row>
    <row r="184" spans="1:13" ht="15.75">
      <c r="A184" s="409"/>
      <c r="B184" s="479">
        <v>47514</v>
      </c>
      <c r="C184" s="421">
        <f t="shared" si="14"/>
        <v>0.0589</v>
      </c>
      <c r="D184" s="422">
        <f t="shared" si="15"/>
        <v>0.0085</v>
      </c>
      <c r="E184" s="423">
        <f t="shared" si="13"/>
        <v>0.0674</v>
      </c>
      <c r="F184" s="426"/>
      <c r="G184" s="425"/>
      <c r="H184" s="426">
        <f t="shared" si="17"/>
        <v>800000</v>
      </c>
      <c r="I184" s="427">
        <v>31</v>
      </c>
      <c r="J184" s="428">
        <f t="shared" si="16"/>
        <v>4579.506849315068</v>
      </c>
      <c r="K184" s="438">
        <f>SUM(J184:J201)</f>
        <v>43689.97260273973</v>
      </c>
      <c r="L184" s="439"/>
      <c r="M184" s="439"/>
    </row>
    <row r="185" spans="1:13" ht="15.75">
      <c r="A185" s="409"/>
      <c r="B185" s="481">
        <v>47542</v>
      </c>
      <c r="C185" s="482">
        <f t="shared" si="14"/>
        <v>0.0589</v>
      </c>
      <c r="D185" s="483">
        <f t="shared" si="15"/>
        <v>0.0085</v>
      </c>
      <c r="E185" s="484">
        <f t="shared" si="13"/>
        <v>0.0674</v>
      </c>
      <c r="F185" s="485"/>
      <c r="G185" s="489"/>
      <c r="H185" s="485">
        <f t="shared" si="17"/>
        <v>800000</v>
      </c>
      <c r="I185" s="487">
        <v>28</v>
      </c>
      <c r="J185" s="488">
        <f t="shared" si="16"/>
        <v>4136.328767123287</v>
      </c>
      <c r="K185" s="439"/>
      <c r="L185" s="439"/>
      <c r="M185" s="439"/>
    </row>
    <row r="186" spans="1:13" ht="15.75">
      <c r="A186" s="409"/>
      <c r="B186" s="481">
        <v>47571</v>
      </c>
      <c r="C186" s="482">
        <f t="shared" si="14"/>
        <v>0.0589</v>
      </c>
      <c r="D186" s="483">
        <f t="shared" si="15"/>
        <v>0.0085</v>
      </c>
      <c r="E186" s="484">
        <f t="shared" si="13"/>
        <v>0.0674</v>
      </c>
      <c r="F186" s="485"/>
      <c r="G186" s="489"/>
      <c r="H186" s="485">
        <f t="shared" si="17"/>
        <v>800000</v>
      </c>
      <c r="I186" s="487">
        <v>29</v>
      </c>
      <c r="J186" s="488">
        <f t="shared" si="16"/>
        <v>4284.054794520548</v>
      </c>
      <c r="K186" s="439"/>
      <c r="L186" s="439"/>
      <c r="M186" s="439"/>
    </row>
    <row r="187" spans="1:13" ht="15.75">
      <c r="A187" s="409"/>
      <c r="B187" s="490">
        <v>47572</v>
      </c>
      <c r="C187" s="482">
        <f t="shared" si="14"/>
        <v>0.0589</v>
      </c>
      <c r="D187" s="483">
        <f t="shared" si="15"/>
        <v>0.0085</v>
      </c>
      <c r="E187" s="484">
        <f t="shared" si="13"/>
        <v>0.0674</v>
      </c>
      <c r="F187" s="485"/>
      <c r="G187" s="489">
        <v>200000</v>
      </c>
      <c r="H187" s="485">
        <f t="shared" si="17"/>
        <v>600000</v>
      </c>
      <c r="I187" s="487">
        <v>1</v>
      </c>
      <c r="J187" s="488">
        <f t="shared" si="16"/>
        <v>110.79452054794521</v>
      </c>
      <c r="K187" s="439"/>
      <c r="L187" s="439"/>
      <c r="M187" s="439"/>
    </row>
    <row r="188" spans="1:13" ht="15.75">
      <c r="A188" s="409"/>
      <c r="B188" s="481">
        <v>47573</v>
      </c>
      <c r="C188" s="482">
        <f t="shared" si="14"/>
        <v>0.0589</v>
      </c>
      <c r="D188" s="483">
        <f t="shared" si="15"/>
        <v>0.0085</v>
      </c>
      <c r="E188" s="484">
        <f t="shared" si="13"/>
        <v>0.0674</v>
      </c>
      <c r="F188" s="485"/>
      <c r="G188" s="489"/>
      <c r="H188" s="485">
        <f t="shared" si="17"/>
        <v>600000</v>
      </c>
      <c r="I188" s="487">
        <v>1</v>
      </c>
      <c r="J188" s="488">
        <f t="shared" si="16"/>
        <v>110.79452054794521</v>
      </c>
      <c r="K188" s="439"/>
      <c r="L188" s="439"/>
      <c r="M188" s="439"/>
    </row>
    <row r="189" spans="1:13" ht="15.75">
      <c r="A189" s="409"/>
      <c r="B189" s="481">
        <v>47603</v>
      </c>
      <c r="C189" s="482">
        <f t="shared" si="14"/>
        <v>0.0589</v>
      </c>
      <c r="D189" s="483">
        <f t="shared" si="15"/>
        <v>0.0085</v>
      </c>
      <c r="E189" s="484">
        <f t="shared" si="13"/>
        <v>0.0674</v>
      </c>
      <c r="F189" s="485"/>
      <c r="G189" s="489"/>
      <c r="H189" s="485">
        <f t="shared" si="17"/>
        <v>600000</v>
      </c>
      <c r="I189" s="487">
        <v>30</v>
      </c>
      <c r="J189" s="488">
        <f t="shared" si="16"/>
        <v>3323.8356164383563</v>
      </c>
      <c r="K189" s="439"/>
      <c r="L189" s="439"/>
      <c r="M189" s="439"/>
    </row>
    <row r="190" spans="1:13" ht="15.75">
      <c r="A190" s="409"/>
      <c r="B190" s="491">
        <v>47634</v>
      </c>
      <c r="C190" s="482">
        <f t="shared" si="14"/>
        <v>0.0589</v>
      </c>
      <c r="D190" s="483">
        <f t="shared" si="15"/>
        <v>0.0085</v>
      </c>
      <c r="E190" s="484">
        <f t="shared" si="13"/>
        <v>0.0674</v>
      </c>
      <c r="F190" s="485"/>
      <c r="G190" s="489"/>
      <c r="H190" s="485">
        <f t="shared" si="17"/>
        <v>600000</v>
      </c>
      <c r="I190" s="487">
        <v>31</v>
      </c>
      <c r="J190" s="488">
        <f t="shared" si="16"/>
        <v>3434.6301369863013</v>
      </c>
      <c r="K190" s="439"/>
      <c r="L190" s="439"/>
      <c r="M190" s="439"/>
    </row>
    <row r="191" spans="1:13" ht="15.75">
      <c r="A191" s="409"/>
      <c r="B191" s="491">
        <v>47663</v>
      </c>
      <c r="C191" s="482">
        <f t="shared" si="14"/>
        <v>0.0589</v>
      </c>
      <c r="D191" s="483">
        <f t="shared" si="15"/>
        <v>0.0085</v>
      </c>
      <c r="E191" s="484">
        <f t="shared" si="13"/>
        <v>0.0674</v>
      </c>
      <c r="F191" s="498"/>
      <c r="G191" s="531"/>
      <c r="H191" s="485">
        <f t="shared" si="17"/>
        <v>600000</v>
      </c>
      <c r="I191" s="493">
        <v>29</v>
      </c>
      <c r="J191" s="488">
        <f t="shared" si="16"/>
        <v>3213.041095890411</v>
      </c>
      <c r="K191" s="439"/>
      <c r="L191" s="439"/>
      <c r="M191" s="439"/>
    </row>
    <row r="192" spans="1:13" ht="15.75">
      <c r="A192" s="409"/>
      <c r="B192" s="490">
        <v>47664</v>
      </c>
      <c r="C192" s="482">
        <f t="shared" si="14"/>
        <v>0.0589</v>
      </c>
      <c r="D192" s="483">
        <f t="shared" si="15"/>
        <v>0.0085</v>
      </c>
      <c r="E192" s="484">
        <f t="shared" si="13"/>
        <v>0.0674</v>
      </c>
      <c r="F192" s="485"/>
      <c r="G192" s="489"/>
      <c r="H192" s="485">
        <f t="shared" si="17"/>
        <v>600000</v>
      </c>
      <c r="I192" s="487">
        <v>1</v>
      </c>
      <c r="J192" s="488">
        <f t="shared" si="16"/>
        <v>110.79452054794521</v>
      </c>
      <c r="K192" s="439"/>
      <c r="L192" s="439"/>
      <c r="M192" s="439"/>
    </row>
    <row r="193" spans="1:13" ht="15.75">
      <c r="A193" s="409"/>
      <c r="B193" s="481">
        <v>47695</v>
      </c>
      <c r="C193" s="482">
        <f t="shared" si="14"/>
        <v>0.0589</v>
      </c>
      <c r="D193" s="483">
        <f t="shared" si="15"/>
        <v>0.0085</v>
      </c>
      <c r="E193" s="484">
        <f t="shared" si="13"/>
        <v>0.0674</v>
      </c>
      <c r="F193" s="485"/>
      <c r="G193" s="489"/>
      <c r="H193" s="485">
        <f t="shared" si="17"/>
        <v>600000</v>
      </c>
      <c r="I193" s="487">
        <v>31</v>
      </c>
      <c r="J193" s="488">
        <f t="shared" si="16"/>
        <v>3434.6301369863013</v>
      </c>
      <c r="K193" s="439"/>
      <c r="L193" s="439"/>
      <c r="M193" s="439"/>
    </row>
    <row r="194" spans="2:13" ht="15.75">
      <c r="B194" s="481">
        <v>47726</v>
      </c>
      <c r="C194" s="482">
        <f t="shared" si="14"/>
        <v>0.0589</v>
      </c>
      <c r="D194" s="483">
        <f t="shared" si="15"/>
        <v>0.0085</v>
      </c>
      <c r="E194" s="484">
        <f t="shared" si="13"/>
        <v>0.0674</v>
      </c>
      <c r="F194" s="485"/>
      <c r="G194" s="489"/>
      <c r="H194" s="485">
        <f t="shared" si="17"/>
        <v>600000</v>
      </c>
      <c r="I194" s="493">
        <v>31</v>
      </c>
      <c r="J194" s="488">
        <f t="shared" si="16"/>
        <v>3434.6301369863013</v>
      </c>
      <c r="K194" s="439"/>
      <c r="L194" s="439"/>
      <c r="M194" s="439"/>
    </row>
    <row r="195" spans="2:13" ht="15.75">
      <c r="B195" s="481">
        <v>47755</v>
      </c>
      <c r="C195" s="482">
        <f t="shared" si="14"/>
        <v>0.0589</v>
      </c>
      <c r="D195" s="483">
        <f t="shared" si="15"/>
        <v>0.0085</v>
      </c>
      <c r="E195" s="484">
        <f t="shared" si="13"/>
        <v>0.0674</v>
      </c>
      <c r="F195" s="485"/>
      <c r="G195" s="489"/>
      <c r="H195" s="485">
        <f t="shared" si="17"/>
        <v>600000</v>
      </c>
      <c r="I195" s="487">
        <v>29</v>
      </c>
      <c r="J195" s="488">
        <f t="shared" si="16"/>
        <v>3213.041095890411</v>
      </c>
      <c r="K195" s="439"/>
      <c r="L195" s="439"/>
      <c r="M195" s="439"/>
    </row>
    <row r="196" spans="2:13" ht="15.75">
      <c r="B196" s="490">
        <v>47756</v>
      </c>
      <c r="C196" s="482">
        <f t="shared" si="14"/>
        <v>0.0589</v>
      </c>
      <c r="D196" s="483">
        <f t="shared" si="15"/>
        <v>0.0085</v>
      </c>
      <c r="E196" s="484">
        <f t="shared" si="13"/>
        <v>0.0674</v>
      </c>
      <c r="F196" s="485"/>
      <c r="G196" s="489"/>
      <c r="H196" s="485">
        <f t="shared" si="17"/>
        <v>600000</v>
      </c>
      <c r="I196" s="487">
        <v>1</v>
      </c>
      <c r="J196" s="488">
        <f t="shared" si="16"/>
        <v>110.79452054794521</v>
      </c>
      <c r="K196" s="439"/>
      <c r="L196" s="439"/>
      <c r="M196" s="439"/>
    </row>
    <row r="197" spans="2:10" ht="15.75">
      <c r="B197" s="491">
        <v>47787</v>
      </c>
      <c r="C197" s="482">
        <f t="shared" si="14"/>
        <v>0.0589</v>
      </c>
      <c r="D197" s="483">
        <f t="shared" si="15"/>
        <v>0.0085</v>
      </c>
      <c r="E197" s="484">
        <f t="shared" si="13"/>
        <v>0.0674</v>
      </c>
      <c r="F197" s="485"/>
      <c r="G197" s="489"/>
      <c r="H197" s="485">
        <f t="shared" si="17"/>
        <v>600000</v>
      </c>
      <c r="I197" s="493">
        <v>31</v>
      </c>
      <c r="J197" s="488">
        <f t="shared" si="16"/>
        <v>3434.6301369863013</v>
      </c>
    </row>
    <row r="198" spans="2:10" ht="15.75">
      <c r="B198" s="491">
        <v>47817</v>
      </c>
      <c r="C198" s="482">
        <f t="shared" si="14"/>
        <v>0.0589</v>
      </c>
      <c r="D198" s="483">
        <f t="shared" si="15"/>
        <v>0.0085</v>
      </c>
      <c r="E198" s="484">
        <f t="shared" si="13"/>
        <v>0.0674</v>
      </c>
      <c r="F198" s="485"/>
      <c r="G198" s="489"/>
      <c r="H198" s="485">
        <f t="shared" si="17"/>
        <v>600000</v>
      </c>
      <c r="I198" s="493">
        <v>30</v>
      </c>
      <c r="J198" s="488">
        <f t="shared" si="16"/>
        <v>3323.8356164383563</v>
      </c>
    </row>
    <row r="199" spans="2:10" ht="15.75">
      <c r="B199" s="491">
        <v>47846</v>
      </c>
      <c r="C199" s="482">
        <f t="shared" si="14"/>
        <v>0.0589</v>
      </c>
      <c r="D199" s="483">
        <f t="shared" si="15"/>
        <v>0.0085</v>
      </c>
      <c r="E199" s="484">
        <f t="shared" si="13"/>
        <v>0.0674</v>
      </c>
      <c r="F199" s="485"/>
      <c r="G199" s="489"/>
      <c r="H199" s="485">
        <f t="shared" si="17"/>
        <v>600000</v>
      </c>
      <c r="I199" s="493">
        <v>29</v>
      </c>
      <c r="J199" s="488">
        <f t="shared" si="16"/>
        <v>3213.041095890411</v>
      </c>
    </row>
    <row r="200" spans="2:10" ht="15.75">
      <c r="B200" s="490">
        <v>47847</v>
      </c>
      <c r="C200" s="482">
        <f t="shared" si="14"/>
        <v>0.0589</v>
      </c>
      <c r="D200" s="483">
        <f t="shared" si="15"/>
        <v>0.0085</v>
      </c>
      <c r="E200" s="484">
        <f t="shared" si="13"/>
        <v>0.0674</v>
      </c>
      <c r="F200" s="485"/>
      <c r="G200" s="489"/>
      <c r="H200" s="485">
        <f t="shared" si="17"/>
        <v>600000</v>
      </c>
      <c r="I200" s="493">
        <v>1</v>
      </c>
      <c r="J200" s="488">
        <f t="shared" si="16"/>
        <v>110.79452054794521</v>
      </c>
    </row>
    <row r="201" spans="2:10" ht="15.75">
      <c r="B201" s="430">
        <v>47848</v>
      </c>
      <c r="C201" s="431">
        <f t="shared" si="14"/>
        <v>0.0589</v>
      </c>
      <c r="D201" s="432">
        <f t="shared" si="15"/>
        <v>0.0085</v>
      </c>
      <c r="E201" s="433">
        <f t="shared" si="13"/>
        <v>0.0674</v>
      </c>
      <c r="F201" s="434"/>
      <c r="G201" s="534"/>
      <c r="H201" s="434">
        <f t="shared" si="17"/>
        <v>600000</v>
      </c>
      <c r="I201" s="436">
        <v>1</v>
      </c>
      <c r="J201" s="437">
        <f t="shared" si="16"/>
        <v>110.79452054794521</v>
      </c>
    </row>
    <row r="202" spans="2:11" ht="15.75">
      <c r="B202" s="440">
        <v>47879</v>
      </c>
      <c r="C202" s="441">
        <f t="shared" si="14"/>
        <v>0.0589</v>
      </c>
      <c r="D202" s="442">
        <f t="shared" si="15"/>
        <v>0.0085</v>
      </c>
      <c r="E202" s="443">
        <f t="shared" si="13"/>
        <v>0.0674</v>
      </c>
      <c r="F202" s="444"/>
      <c r="G202" s="506"/>
      <c r="H202" s="444">
        <f t="shared" si="17"/>
        <v>600000</v>
      </c>
      <c r="I202" s="446">
        <v>31</v>
      </c>
      <c r="J202" s="447">
        <f t="shared" si="16"/>
        <v>3434.6301369863013</v>
      </c>
      <c r="K202" s="555">
        <f>SUM(J202:J219)</f>
        <v>30209.97260273972</v>
      </c>
    </row>
    <row r="203" spans="2:10" ht="15.75">
      <c r="B203" s="448">
        <v>47907</v>
      </c>
      <c r="C203" s="449">
        <f t="shared" si="14"/>
        <v>0.0589</v>
      </c>
      <c r="D203" s="450">
        <f t="shared" si="15"/>
        <v>0.0085</v>
      </c>
      <c r="E203" s="451">
        <f t="shared" si="13"/>
        <v>0.0674</v>
      </c>
      <c r="F203" s="452"/>
      <c r="G203" s="459"/>
      <c r="H203" s="452">
        <f t="shared" si="17"/>
        <v>600000</v>
      </c>
      <c r="I203" s="454">
        <v>28</v>
      </c>
      <c r="J203" s="455">
        <f t="shared" si="16"/>
        <v>3102.246575342466</v>
      </c>
    </row>
    <row r="204" spans="2:10" ht="15.75">
      <c r="B204" s="448">
        <v>47936</v>
      </c>
      <c r="C204" s="449">
        <f t="shared" si="14"/>
        <v>0.0589</v>
      </c>
      <c r="D204" s="450">
        <f t="shared" si="15"/>
        <v>0.0085</v>
      </c>
      <c r="E204" s="451">
        <f t="shared" si="13"/>
        <v>0.0674</v>
      </c>
      <c r="F204" s="452"/>
      <c r="G204" s="459"/>
      <c r="H204" s="452">
        <f t="shared" si="17"/>
        <v>600000</v>
      </c>
      <c r="I204" s="454">
        <v>29</v>
      </c>
      <c r="J204" s="455">
        <f t="shared" si="16"/>
        <v>3213.041095890411</v>
      </c>
    </row>
    <row r="205" spans="2:10" ht="15.75">
      <c r="B205" s="458">
        <v>47937</v>
      </c>
      <c r="C205" s="449">
        <f t="shared" si="14"/>
        <v>0.0589</v>
      </c>
      <c r="D205" s="450">
        <f t="shared" si="15"/>
        <v>0.0085</v>
      </c>
      <c r="E205" s="451">
        <f t="shared" si="13"/>
        <v>0.0674</v>
      </c>
      <c r="F205" s="452"/>
      <c r="G205" s="459">
        <v>200000</v>
      </c>
      <c r="H205" s="452">
        <f t="shared" si="17"/>
        <v>400000</v>
      </c>
      <c r="I205" s="454">
        <v>1</v>
      </c>
      <c r="J205" s="455">
        <f t="shared" si="16"/>
        <v>73.86301369863014</v>
      </c>
    </row>
    <row r="206" spans="2:10" ht="15.75">
      <c r="B206" s="448">
        <v>47938</v>
      </c>
      <c r="C206" s="449">
        <f t="shared" si="14"/>
        <v>0.0589</v>
      </c>
      <c r="D206" s="450">
        <f t="shared" si="15"/>
        <v>0.0085</v>
      </c>
      <c r="E206" s="451">
        <f t="shared" si="13"/>
        <v>0.0674</v>
      </c>
      <c r="F206" s="452"/>
      <c r="G206" s="459"/>
      <c r="H206" s="452">
        <f t="shared" si="17"/>
        <v>400000</v>
      </c>
      <c r="I206" s="454">
        <v>1</v>
      </c>
      <c r="J206" s="455">
        <f t="shared" si="16"/>
        <v>73.86301369863014</v>
      </c>
    </row>
    <row r="207" spans="2:10" ht="15.75">
      <c r="B207" s="448">
        <v>47968</v>
      </c>
      <c r="C207" s="449">
        <f t="shared" si="14"/>
        <v>0.0589</v>
      </c>
      <c r="D207" s="450">
        <f t="shared" si="15"/>
        <v>0.0085</v>
      </c>
      <c r="E207" s="451">
        <f t="shared" si="13"/>
        <v>0.0674</v>
      </c>
      <c r="F207" s="452"/>
      <c r="G207" s="459"/>
      <c r="H207" s="452">
        <f t="shared" si="17"/>
        <v>400000</v>
      </c>
      <c r="I207" s="454">
        <v>30</v>
      </c>
      <c r="J207" s="455">
        <f t="shared" si="16"/>
        <v>2215.890410958904</v>
      </c>
    </row>
    <row r="208" spans="2:10" ht="15.75">
      <c r="B208" s="461">
        <v>47999</v>
      </c>
      <c r="C208" s="449">
        <f t="shared" si="14"/>
        <v>0.0589</v>
      </c>
      <c r="D208" s="450">
        <f t="shared" si="15"/>
        <v>0.0085</v>
      </c>
      <c r="E208" s="451">
        <f t="shared" si="13"/>
        <v>0.0674</v>
      </c>
      <c r="F208" s="452"/>
      <c r="G208" s="459"/>
      <c r="H208" s="452">
        <f t="shared" si="17"/>
        <v>400000</v>
      </c>
      <c r="I208" s="454">
        <v>31</v>
      </c>
      <c r="J208" s="455">
        <f t="shared" si="16"/>
        <v>2289.753424657534</v>
      </c>
    </row>
    <row r="209" spans="2:10" ht="15.75">
      <c r="B209" s="461">
        <v>48028</v>
      </c>
      <c r="C209" s="449">
        <f t="shared" si="14"/>
        <v>0.0589</v>
      </c>
      <c r="D209" s="450">
        <f t="shared" si="15"/>
        <v>0.0085</v>
      </c>
      <c r="E209" s="451">
        <f t="shared" si="13"/>
        <v>0.0674</v>
      </c>
      <c r="F209" s="511"/>
      <c r="G209" s="512"/>
      <c r="H209" s="452">
        <f t="shared" si="17"/>
        <v>400000</v>
      </c>
      <c r="I209" s="508">
        <v>29</v>
      </c>
      <c r="J209" s="455">
        <f t="shared" si="16"/>
        <v>2142.027397260274</v>
      </c>
    </row>
    <row r="210" spans="2:10" ht="15.75">
      <c r="B210" s="458">
        <v>48029</v>
      </c>
      <c r="C210" s="449">
        <f t="shared" si="14"/>
        <v>0.0589</v>
      </c>
      <c r="D210" s="450">
        <f t="shared" si="15"/>
        <v>0.0085</v>
      </c>
      <c r="E210" s="451">
        <f t="shared" si="13"/>
        <v>0.0674</v>
      </c>
      <c r="F210" s="452"/>
      <c r="G210" s="459"/>
      <c r="H210" s="452">
        <f t="shared" si="17"/>
        <v>400000</v>
      </c>
      <c r="I210" s="454">
        <v>1</v>
      </c>
      <c r="J210" s="455">
        <f t="shared" si="16"/>
        <v>73.86301369863014</v>
      </c>
    </row>
    <row r="211" spans="2:10" ht="15.75">
      <c r="B211" s="448">
        <v>48060</v>
      </c>
      <c r="C211" s="449">
        <f t="shared" si="14"/>
        <v>0.0589</v>
      </c>
      <c r="D211" s="450">
        <f t="shared" si="15"/>
        <v>0.0085</v>
      </c>
      <c r="E211" s="451">
        <f t="shared" si="13"/>
        <v>0.0674</v>
      </c>
      <c r="F211" s="452"/>
      <c r="G211" s="459"/>
      <c r="H211" s="452">
        <f t="shared" si="17"/>
        <v>400000</v>
      </c>
      <c r="I211" s="454">
        <v>31</v>
      </c>
      <c r="J211" s="455">
        <f t="shared" si="16"/>
        <v>2289.753424657534</v>
      </c>
    </row>
    <row r="212" spans="2:10" ht="15.75">
      <c r="B212" s="448">
        <v>48091</v>
      </c>
      <c r="C212" s="449">
        <f t="shared" si="14"/>
        <v>0.0589</v>
      </c>
      <c r="D212" s="450">
        <f t="shared" si="15"/>
        <v>0.0085</v>
      </c>
      <c r="E212" s="451">
        <f aca="true" t="shared" si="18" ref="E212:E275">C212+D212</f>
        <v>0.0674</v>
      </c>
      <c r="F212" s="452"/>
      <c r="G212" s="459"/>
      <c r="H212" s="452">
        <f t="shared" si="17"/>
        <v>400000</v>
      </c>
      <c r="I212" s="508">
        <v>31</v>
      </c>
      <c r="J212" s="455">
        <f t="shared" si="16"/>
        <v>2289.753424657534</v>
      </c>
    </row>
    <row r="213" spans="2:10" ht="15.75">
      <c r="B213" s="448">
        <v>48120</v>
      </c>
      <c r="C213" s="449">
        <f aca="true" t="shared" si="19" ref="C213:C276">C212</f>
        <v>0.0589</v>
      </c>
      <c r="D213" s="450">
        <f aca="true" t="shared" si="20" ref="D213:D276">D212</f>
        <v>0.0085</v>
      </c>
      <c r="E213" s="451">
        <f t="shared" si="18"/>
        <v>0.0674</v>
      </c>
      <c r="F213" s="452"/>
      <c r="G213" s="459"/>
      <c r="H213" s="452">
        <f t="shared" si="17"/>
        <v>400000</v>
      </c>
      <c r="I213" s="454">
        <v>29</v>
      </c>
      <c r="J213" s="455">
        <f t="shared" si="16"/>
        <v>2142.027397260274</v>
      </c>
    </row>
    <row r="214" spans="2:10" ht="15.75">
      <c r="B214" s="458">
        <v>48121</v>
      </c>
      <c r="C214" s="449">
        <f t="shared" si="19"/>
        <v>0.0589</v>
      </c>
      <c r="D214" s="450">
        <f t="shared" si="20"/>
        <v>0.0085</v>
      </c>
      <c r="E214" s="451">
        <f t="shared" si="18"/>
        <v>0.0674</v>
      </c>
      <c r="F214" s="452"/>
      <c r="G214" s="459"/>
      <c r="H214" s="452">
        <f t="shared" si="17"/>
        <v>400000</v>
      </c>
      <c r="I214" s="454">
        <v>1</v>
      </c>
      <c r="J214" s="455">
        <f t="shared" si="16"/>
        <v>73.86301369863014</v>
      </c>
    </row>
    <row r="215" spans="2:10" ht="15.75">
      <c r="B215" s="461">
        <v>48152</v>
      </c>
      <c r="C215" s="449">
        <f t="shared" si="19"/>
        <v>0.0589</v>
      </c>
      <c r="D215" s="450">
        <f t="shared" si="20"/>
        <v>0.0085</v>
      </c>
      <c r="E215" s="451">
        <f t="shared" si="18"/>
        <v>0.0674</v>
      </c>
      <c r="F215" s="452"/>
      <c r="G215" s="459"/>
      <c r="H215" s="452">
        <f t="shared" si="17"/>
        <v>400000</v>
      </c>
      <c r="I215" s="508">
        <v>31</v>
      </c>
      <c r="J215" s="455">
        <f t="shared" si="16"/>
        <v>2289.753424657534</v>
      </c>
    </row>
    <row r="216" spans="2:10" ht="15.75">
      <c r="B216" s="461">
        <v>48182</v>
      </c>
      <c r="C216" s="449">
        <f t="shared" si="19"/>
        <v>0.0589</v>
      </c>
      <c r="D216" s="450">
        <f t="shared" si="20"/>
        <v>0.0085</v>
      </c>
      <c r="E216" s="451">
        <f t="shared" si="18"/>
        <v>0.0674</v>
      </c>
      <c r="F216" s="452"/>
      <c r="G216" s="459"/>
      <c r="H216" s="452">
        <f t="shared" si="17"/>
        <v>400000</v>
      </c>
      <c r="I216" s="508">
        <v>30</v>
      </c>
      <c r="J216" s="455">
        <f t="shared" si="16"/>
        <v>2215.890410958904</v>
      </c>
    </row>
    <row r="217" spans="2:10" ht="15.75">
      <c r="B217" s="461">
        <v>48211</v>
      </c>
      <c r="C217" s="449">
        <f t="shared" si="19"/>
        <v>0.0589</v>
      </c>
      <c r="D217" s="450">
        <f t="shared" si="20"/>
        <v>0.0085</v>
      </c>
      <c r="E217" s="451">
        <f t="shared" si="18"/>
        <v>0.0674</v>
      </c>
      <c r="F217" s="452"/>
      <c r="G217" s="459"/>
      <c r="H217" s="452">
        <f t="shared" si="17"/>
        <v>400000</v>
      </c>
      <c r="I217" s="508">
        <v>29</v>
      </c>
      <c r="J217" s="455">
        <f t="shared" si="16"/>
        <v>2142.027397260274</v>
      </c>
    </row>
    <row r="218" spans="2:10" ht="15.75">
      <c r="B218" s="458">
        <v>48212</v>
      </c>
      <c r="C218" s="449">
        <f t="shared" si="19"/>
        <v>0.0589</v>
      </c>
      <c r="D218" s="450">
        <f t="shared" si="20"/>
        <v>0.0085</v>
      </c>
      <c r="E218" s="451">
        <f t="shared" si="18"/>
        <v>0.0674</v>
      </c>
      <c r="F218" s="452"/>
      <c r="G218" s="459"/>
      <c r="H218" s="452">
        <f t="shared" si="17"/>
        <v>400000</v>
      </c>
      <c r="I218" s="508">
        <v>1</v>
      </c>
      <c r="J218" s="455">
        <f t="shared" si="16"/>
        <v>73.86301369863014</v>
      </c>
    </row>
    <row r="219" spans="2:10" ht="15.75">
      <c r="B219" s="469">
        <v>48213</v>
      </c>
      <c r="C219" s="470">
        <f t="shared" si="19"/>
        <v>0.0589</v>
      </c>
      <c r="D219" s="471">
        <f t="shared" si="20"/>
        <v>0.0085</v>
      </c>
      <c r="E219" s="472">
        <f t="shared" si="18"/>
        <v>0.0674</v>
      </c>
      <c r="F219" s="473"/>
      <c r="G219" s="554"/>
      <c r="H219" s="473">
        <f t="shared" si="17"/>
        <v>400000</v>
      </c>
      <c r="I219" s="475">
        <v>1</v>
      </c>
      <c r="J219" s="476">
        <f t="shared" si="16"/>
        <v>73.86301369863014</v>
      </c>
    </row>
    <row r="220" spans="2:11" ht="15.75">
      <c r="B220" s="479">
        <v>48244</v>
      </c>
      <c r="C220" s="421">
        <f t="shared" si="19"/>
        <v>0.0589</v>
      </c>
      <c r="D220" s="422">
        <f t="shared" si="20"/>
        <v>0.0085</v>
      </c>
      <c r="E220" s="423">
        <f t="shared" si="18"/>
        <v>0.0674</v>
      </c>
      <c r="F220" s="426"/>
      <c r="G220" s="425"/>
      <c r="H220" s="426">
        <f t="shared" si="17"/>
        <v>400000</v>
      </c>
      <c r="I220" s="427">
        <v>31</v>
      </c>
      <c r="J220" s="428">
        <f t="shared" si="16"/>
        <v>2289.753424657534</v>
      </c>
      <c r="K220" s="555">
        <f>SUM(J220:J237)</f>
        <v>16803.835616438355</v>
      </c>
    </row>
    <row r="221" spans="2:10" ht="15.75">
      <c r="B221" s="481">
        <v>48273</v>
      </c>
      <c r="C221" s="482">
        <f t="shared" si="19"/>
        <v>0.0589</v>
      </c>
      <c r="D221" s="483">
        <f t="shared" si="20"/>
        <v>0.0085</v>
      </c>
      <c r="E221" s="484">
        <f t="shared" si="18"/>
        <v>0.0674</v>
      </c>
      <c r="F221" s="485"/>
      <c r="G221" s="489"/>
      <c r="H221" s="485">
        <f t="shared" si="17"/>
        <v>400000</v>
      </c>
      <c r="I221" s="487">
        <v>29</v>
      </c>
      <c r="J221" s="488">
        <f t="shared" si="16"/>
        <v>2142.027397260274</v>
      </c>
    </row>
    <row r="222" spans="2:10" ht="15.75">
      <c r="B222" s="481">
        <v>48302</v>
      </c>
      <c r="C222" s="482">
        <f t="shared" si="19"/>
        <v>0.0589</v>
      </c>
      <c r="D222" s="483">
        <f t="shared" si="20"/>
        <v>0.0085</v>
      </c>
      <c r="E222" s="484">
        <f t="shared" si="18"/>
        <v>0.0674</v>
      </c>
      <c r="F222" s="485"/>
      <c r="G222" s="489"/>
      <c r="H222" s="485">
        <f t="shared" si="17"/>
        <v>400000</v>
      </c>
      <c r="I222" s="487">
        <v>29</v>
      </c>
      <c r="J222" s="488">
        <f aca="true" t="shared" si="21" ref="J222:J285">H222*E222*I222/365</f>
        <v>2142.027397260274</v>
      </c>
    </row>
    <row r="223" spans="2:10" ht="15.75">
      <c r="B223" s="490">
        <v>48303</v>
      </c>
      <c r="C223" s="482">
        <f t="shared" si="19"/>
        <v>0.0589</v>
      </c>
      <c r="D223" s="483">
        <f t="shared" si="20"/>
        <v>0.0085</v>
      </c>
      <c r="E223" s="484">
        <f t="shared" si="18"/>
        <v>0.0674</v>
      </c>
      <c r="F223" s="485"/>
      <c r="G223" s="489">
        <v>200000</v>
      </c>
      <c r="H223" s="485">
        <f t="shared" si="17"/>
        <v>200000</v>
      </c>
      <c r="I223" s="487">
        <v>1</v>
      </c>
      <c r="J223" s="488">
        <f t="shared" si="21"/>
        <v>36.93150684931507</v>
      </c>
    </row>
    <row r="224" spans="2:10" ht="15.75">
      <c r="B224" s="481">
        <v>48304</v>
      </c>
      <c r="C224" s="482">
        <f t="shared" si="19"/>
        <v>0.0589</v>
      </c>
      <c r="D224" s="483">
        <f t="shared" si="20"/>
        <v>0.0085</v>
      </c>
      <c r="E224" s="484">
        <f t="shared" si="18"/>
        <v>0.0674</v>
      </c>
      <c r="F224" s="485"/>
      <c r="G224" s="489"/>
      <c r="H224" s="485">
        <f t="shared" si="17"/>
        <v>200000</v>
      </c>
      <c r="I224" s="487">
        <v>1</v>
      </c>
      <c r="J224" s="488">
        <f t="shared" si="21"/>
        <v>36.93150684931507</v>
      </c>
    </row>
    <row r="225" spans="2:10" ht="15.75">
      <c r="B225" s="481">
        <v>48334</v>
      </c>
      <c r="C225" s="482">
        <f t="shared" si="19"/>
        <v>0.0589</v>
      </c>
      <c r="D225" s="483">
        <f t="shared" si="20"/>
        <v>0.0085</v>
      </c>
      <c r="E225" s="484">
        <f t="shared" si="18"/>
        <v>0.0674</v>
      </c>
      <c r="F225" s="485"/>
      <c r="G225" s="489"/>
      <c r="H225" s="485">
        <f t="shared" si="17"/>
        <v>200000</v>
      </c>
      <c r="I225" s="487">
        <v>30</v>
      </c>
      <c r="J225" s="488">
        <f t="shared" si="21"/>
        <v>1107.945205479452</v>
      </c>
    </row>
    <row r="226" spans="2:10" ht="15.75">
      <c r="B226" s="491">
        <v>48365</v>
      </c>
      <c r="C226" s="482">
        <f t="shared" si="19"/>
        <v>0.0589</v>
      </c>
      <c r="D226" s="483">
        <f t="shared" si="20"/>
        <v>0.0085</v>
      </c>
      <c r="E226" s="484">
        <f t="shared" si="18"/>
        <v>0.0674</v>
      </c>
      <c r="F226" s="485"/>
      <c r="G226" s="489"/>
      <c r="H226" s="485">
        <f t="shared" si="17"/>
        <v>200000</v>
      </c>
      <c r="I226" s="487">
        <v>31</v>
      </c>
      <c r="J226" s="488">
        <f t="shared" si="21"/>
        <v>1144.876712328767</v>
      </c>
    </row>
    <row r="227" spans="2:10" ht="15.75">
      <c r="B227" s="491">
        <v>48394</v>
      </c>
      <c r="C227" s="482">
        <f t="shared" si="19"/>
        <v>0.0589</v>
      </c>
      <c r="D227" s="483">
        <f t="shared" si="20"/>
        <v>0.0085</v>
      </c>
      <c r="E227" s="484">
        <f t="shared" si="18"/>
        <v>0.0674</v>
      </c>
      <c r="F227" s="498"/>
      <c r="G227" s="531"/>
      <c r="H227" s="485">
        <f t="shared" si="17"/>
        <v>200000</v>
      </c>
      <c r="I227" s="493">
        <v>29</v>
      </c>
      <c r="J227" s="488">
        <f t="shared" si="21"/>
        <v>1071.013698630137</v>
      </c>
    </row>
    <row r="228" spans="2:10" ht="15.75">
      <c r="B228" s="490">
        <v>48395</v>
      </c>
      <c r="C228" s="482">
        <f t="shared" si="19"/>
        <v>0.0589</v>
      </c>
      <c r="D228" s="483">
        <f t="shared" si="20"/>
        <v>0.0085</v>
      </c>
      <c r="E228" s="484">
        <f t="shared" si="18"/>
        <v>0.0674</v>
      </c>
      <c r="F228" s="485"/>
      <c r="G228" s="489"/>
      <c r="H228" s="485">
        <f t="shared" si="17"/>
        <v>200000</v>
      </c>
      <c r="I228" s="487">
        <v>1</v>
      </c>
      <c r="J228" s="488">
        <f t="shared" si="21"/>
        <v>36.93150684931507</v>
      </c>
    </row>
    <row r="229" spans="2:10" ht="15.75">
      <c r="B229" s="481">
        <v>48426</v>
      </c>
      <c r="C229" s="482">
        <f t="shared" si="19"/>
        <v>0.0589</v>
      </c>
      <c r="D229" s="483">
        <f t="shared" si="20"/>
        <v>0.0085</v>
      </c>
      <c r="E229" s="484">
        <f t="shared" si="18"/>
        <v>0.0674</v>
      </c>
      <c r="F229" s="485"/>
      <c r="G229" s="489"/>
      <c r="H229" s="485">
        <f t="shared" si="17"/>
        <v>200000</v>
      </c>
      <c r="I229" s="487">
        <v>31</v>
      </c>
      <c r="J229" s="488">
        <f t="shared" si="21"/>
        <v>1144.876712328767</v>
      </c>
    </row>
    <row r="230" spans="2:10" ht="15.75">
      <c r="B230" s="481">
        <v>48457</v>
      </c>
      <c r="C230" s="482">
        <f t="shared" si="19"/>
        <v>0.0589</v>
      </c>
      <c r="D230" s="483">
        <f t="shared" si="20"/>
        <v>0.0085</v>
      </c>
      <c r="E230" s="484">
        <f t="shared" si="18"/>
        <v>0.0674</v>
      </c>
      <c r="F230" s="485"/>
      <c r="G230" s="489"/>
      <c r="H230" s="485">
        <f t="shared" si="17"/>
        <v>200000</v>
      </c>
      <c r="I230" s="493">
        <v>31</v>
      </c>
      <c r="J230" s="488">
        <f t="shared" si="21"/>
        <v>1144.876712328767</v>
      </c>
    </row>
    <row r="231" spans="2:10" ht="15.75">
      <c r="B231" s="481">
        <v>48486</v>
      </c>
      <c r="C231" s="482">
        <f t="shared" si="19"/>
        <v>0.0589</v>
      </c>
      <c r="D231" s="483">
        <f t="shared" si="20"/>
        <v>0.0085</v>
      </c>
      <c r="E231" s="484">
        <f t="shared" si="18"/>
        <v>0.0674</v>
      </c>
      <c r="F231" s="485"/>
      <c r="G231" s="489"/>
      <c r="H231" s="485">
        <f t="shared" si="17"/>
        <v>200000</v>
      </c>
      <c r="I231" s="487">
        <v>29</v>
      </c>
      <c r="J231" s="488">
        <f t="shared" si="21"/>
        <v>1071.013698630137</v>
      </c>
    </row>
    <row r="232" spans="2:10" ht="15.75">
      <c r="B232" s="490">
        <v>48487</v>
      </c>
      <c r="C232" s="482">
        <f t="shared" si="19"/>
        <v>0.0589</v>
      </c>
      <c r="D232" s="483">
        <f t="shared" si="20"/>
        <v>0.0085</v>
      </c>
      <c r="E232" s="484">
        <f t="shared" si="18"/>
        <v>0.0674</v>
      </c>
      <c r="F232" s="485"/>
      <c r="G232" s="489"/>
      <c r="H232" s="485">
        <f t="shared" si="17"/>
        <v>200000</v>
      </c>
      <c r="I232" s="487">
        <v>1</v>
      </c>
      <c r="J232" s="488">
        <f t="shared" si="21"/>
        <v>36.93150684931507</v>
      </c>
    </row>
    <row r="233" spans="2:10" ht="15.75">
      <c r="B233" s="491">
        <v>48518</v>
      </c>
      <c r="C233" s="482">
        <f t="shared" si="19"/>
        <v>0.0589</v>
      </c>
      <c r="D233" s="483">
        <f t="shared" si="20"/>
        <v>0.0085</v>
      </c>
      <c r="E233" s="484">
        <f t="shared" si="18"/>
        <v>0.0674</v>
      </c>
      <c r="F233" s="485"/>
      <c r="G233" s="489"/>
      <c r="H233" s="485">
        <f t="shared" si="17"/>
        <v>200000</v>
      </c>
      <c r="I233" s="493">
        <v>31</v>
      </c>
      <c r="J233" s="488">
        <f t="shared" si="21"/>
        <v>1144.876712328767</v>
      </c>
    </row>
    <row r="234" spans="2:10" ht="15.75">
      <c r="B234" s="491">
        <v>48548</v>
      </c>
      <c r="C234" s="482">
        <f t="shared" si="19"/>
        <v>0.0589</v>
      </c>
      <c r="D234" s="483">
        <f t="shared" si="20"/>
        <v>0.0085</v>
      </c>
      <c r="E234" s="484">
        <f t="shared" si="18"/>
        <v>0.0674</v>
      </c>
      <c r="F234" s="485"/>
      <c r="G234" s="489"/>
      <c r="H234" s="485">
        <f t="shared" si="17"/>
        <v>200000</v>
      </c>
      <c r="I234" s="493">
        <v>30</v>
      </c>
      <c r="J234" s="488">
        <f t="shared" si="21"/>
        <v>1107.945205479452</v>
      </c>
    </row>
    <row r="235" spans="2:10" ht="15.75">
      <c r="B235" s="491">
        <v>48577</v>
      </c>
      <c r="C235" s="482">
        <f t="shared" si="19"/>
        <v>0.0589</v>
      </c>
      <c r="D235" s="483">
        <f t="shared" si="20"/>
        <v>0.0085</v>
      </c>
      <c r="E235" s="484">
        <f t="shared" si="18"/>
        <v>0.0674</v>
      </c>
      <c r="F235" s="485"/>
      <c r="G235" s="489"/>
      <c r="H235" s="485">
        <f t="shared" si="17"/>
        <v>200000</v>
      </c>
      <c r="I235" s="493">
        <v>29</v>
      </c>
      <c r="J235" s="488">
        <f t="shared" si="21"/>
        <v>1071.013698630137</v>
      </c>
    </row>
    <row r="236" spans="2:10" ht="15.75">
      <c r="B236" s="490">
        <v>48578</v>
      </c>
      <c r="C236" s="482">
        <f t="shared" si="19"/>
        <v>0.0589</v>
      </c>
      <c r="D236" s="483">
        <f t="shared" si="20"/>
        <v>0.0085</v>
      </c>
      <c r="E236" s="484">
        <f t="shared" si="18"/>
        <v>0.0674</v>
      </c>
      <c r="F236" s="485"/>
      <c r="G236" s="489"/>
      <c r="H236" s="485">
        <f t="shared" si="17"/>
        <v>200000</v>
      </c>
      <c r="I236" s="493">
        <v>1</v>
      </c>
      <c r="J236" s="488">
        <f t="shared" si="21"/>
        <v>36.93150684931507</v>
      </c>
    </row>
    <row r="237" spans="2:10" ht="15.75">
      <c r="B237" s="430">
        <v>48579</v>
      </c>
      <c r="C237" s="431">
        <f t="shared" si="19"/>
        <v>0.0589</v>
      </c>
      <c r="D237" s="432">
        <f t="shared" si="20"/>
        <v>0.0085</v>
      </c>
      <c r="E237" s="433">
        <f t="shared" si="18"/>
        <v>0.0674</v>
      </c>
      <c r="F237" s="434"/>
      <c r="G237" s="534"/>
      <c r="H237" s="434">
        <f t="shared" si="17"/>
        <v>200000</v>
      </c>
      <c r="I237" s="436">
        <v>1</v>
      </c>
      <c r="J237" s="437">
        <f t="shared" si="21"/>
        <v>36.93150684931507</v>
      </c>
    </row>
    <row r="238" spans="2:11" ht="15.75">
      <c r="B238" s="440">
        <v>48610</v>
      </c>
      <c r="C238" s="441">
        <f t="shared" si="19"/>
        <v>0.0589</v>
      </c>
      <c r="D238" s="442">
        <f t="shared" si="20"/>
        <v>0.0085</v>
      </c>
      <c r="E238" s="443">
        <f t="shared" si="18"/>
        <v>0.0674</v>
      </c>
      <c r="F238" s="444"/>
      <c r="G238" s="506"/>
      <c r="H238" s="444">
        <f t="shared" si="17"/>
        <v>200000</v>
      </c>
      <c r="I238" s="446">
        <v>31</v>
      </c>
      <c r="J238" s="447">
        <f t="shared" si="21"/>
        <v>1144.876712328767</v>
      </c>
      <c r="K238" s="555">
        <f>SUM(J238:J255)</f>
        <v>3249.9726027397255</v>
      </c>
    </row>
    <row r="239" spans="2:10" ht="15.75">
      <c r="B239" s="448">
        <v>48638</v>
      </c>
      <c r="C239" s="449">
        <f t="shared" si="19"/>
        <v>0.0589</v>
      </c>
      <c r="D239" s="450">
        <f t="shared" si="20"/>
        <v>0.0085</v>
      </c>
      <c r="E239" s="451">
        <f t="shared" si="18"/>
        <v>0.0674</v>
      </c>
      <c r="F239" s="452"/>
      <c r="G239" s="459"/>
      <c r="H239" s="452">
        <f t="shared" si="17"/>
        <v>200000</v>
      </c>
      <c r="I239" s="454">
        <v>28</v>
      </c>
      <c r="J239" s="455">
        <f t="shared" si="21"/>
        <v>1034.0821917808219</v>
      </c>
    </row>
    <row r="240" spans="2:10" ht="15.75">
      <c r="B240" s="448">
        <v>48667</v>
      </c>
      <c r="C240" s="449">
        <f t="shared" si="19"/>
        <v>0.0589</v>
      </c>
      <c r="D240" s="450">
        <f t="shared" si="20"/>
        <v>0.0085</v>
      </c>
      <c r="E240" s="451">
        <f t="shared" si="18"/>
        <v>0.0674</v>
      </c>
      <c r="F240" s="452"/>
      <c r="G240" s="459"/>
      <c r="H240" s="452">
        <f aca="true" t="shared" si="22" ref="H240:H303">H239-G240</f>
        <v>200000</v>
      </c>
      <c r="I240" s="454">
        <v>29</v>
      </c>
      <c r="J240" s="455">
        <f t="shared" si="21"/>
        <v>1071.013698630137</v>
      </c>
    </row>
    <row r="241" spans="2:10" ht="15.75">
      <c r="B241" s="458">
        <v>48668</v>
      </c>
      <c r="C241" s="449">
        <f t="shared" si="19"/>
        <v>0.0589</v>
      </c>
      <c r="D241" s="450">
        <f t="shared" si="20"/>
        <v>0.0085</v>
      </c>
      <c r="E241" s="451">
        <f t="shared" si="18"/>
        <v>0.0674</v>
      </c>
      <c r="F241" s="452"/>
      <c r="G241" s="459">
        <v>200000</v>
      </c>
      <c r="H241" s="452">
        <f t="shared" si="22"/>
        <v>0</v>
      </c>
      <c r="I241" s="454">
        <v>1</v>
      </c>
      <c r="J241" s="455">
        <f t="shared" si="21"/>
        <v>0</v>
      </c>
    </row>
    <row r="242" spans="2:10" ht="15.75">
      <c r="B242" s="448">
        <v>48669</v>
      </c>
      <c r="C242" s="449">
        <f t="shared" si="19"/>
        <v>0.0589</v>
      </c>
      <c r="D242" s="450">
        <f t="shared" si="20"/>
        <v>0.0085</v>
      </c>
      <c r="E242" s="451">
        <f t="shared" si="18"/>
        <v>0.0674</v>
      </c>
      <c r="F242" s="452"/>
      <c r="G242" s="459"/>
      <c r="H242" s="452">
        <f t="shared" si="22"/>
        <v>0</v>
      </c>
      <c r="I242" s="454">
        <v>1</v>
      </c>
      <c r="J242" s="455">
        <f t="shared" si="21"/>
        <v>0</v>
      </c>
    </row>
    <row r="243" spans="2:10" ht="15.75">
      <c r="B243" s="448">
        <v>48699</v>
      </c>
      <c r="C243" s="449">
        <f t="shared" si="19"/>
        <v>0.0589</v>
      </c>
      <c r="D243" s="450">
        <f t="shared" si="20"/>
        <v>0.0085</v>
      </c>
      <c r="E243" s="451">
        <f t="shared" si="18"/>
        <v>0.0674</v>
      </c>
      <c r="F243" s="452"/>
      <c r="G243" s="459"/>
      <c r="H243" s="452">
        <f t="shared" si="22"/>
        <v>0</v>
      </c>
      <c r="I243" s="454">
        <v>30</v>
      </c>
      <c r="J243" s="455">
        <f t="shared" si="21"/>
        <v>0</v>
      </c>
    </row>
    <row r="244" spans="2:10" ht="15.75">
      <c r="B244" s="461">
        <v>48730</v>
      </c>
      <c r="C244" s="449">
        <f t="shared" si="19"/>
        <v>0.0589</v>
      </c>
      <c r="D244" s="450">
        <f t="shared" si="20"/>
        <v>0.0085</v>
      </c>
      <c r="E244" s="451">
        <f t="shared" si="18"/>
        <v>0.0674</v>
      </c>
      <c r="F244" s="452"/>
      <c r="G244" s="459"/>
      <c r="H244" s="452">
        <f t="shared" si="22"/>
        <v>0</v>
      </c>
      <c r="I244" s="454">
        <v>31</v>
      </c>
      <c r="J244" s="455">
        <f t="shared" si="21"/>
        <v>0</v>
      </c>
    </row>
    <row r="245" spans="2:10" ht="15.75">
      <c r="B245" s="461">
        <v>48759</v>
      </c>
      <c r="C245" s="449">
        <f t="shared" si="19"/>
        <v>0.0589</v>
      </c>
      <c r="D245" s="450">
        <f t="shared" si="20"/>
        <v>0.0085</v>
      </c>
      <c r="E245" s="451">
        <f t="shared" si="18"/>
        <v>0.0674</v>
      </c>
      <c r="F245" s="511"/>
      <c r="G245" s="512"/>
      <c r="H245" s="452">
        <f t="shared" si="22"/>
        <v>0</v>
      </c>
      <c r="I245" s="508">
        <v>29</v>
      </c>
      <c r="J245" s="455">
        <f t="shared" si="21"/>
        <v>0</v>
      </c>
    </row>
    <row r="246" spans="2:10" ht="15.75">
      <c r="B246" s="458">
        <v>48760</v>
      </c>
      <c r="C246" s="449">
        <f t="shared" si="19"/>
        <v>0.0589</v>
      </c>
      <c r="D246" s="450">
        <f t="shared" si="20"/>
        <v>0.0085</v>
      </c>
      <c r="E246" s="451">
        <f t="shared" si="18"/>
        <v>0.0674</v>
      </c>
      <c r="F246" s="452"/>
      <c r="G246" s="459"/>
      <c r="H246" s="452">
        <f t="shared" si="22"/>
        <v>0</v>
      </c>
      <c r="I246" s="454">
        <v>1</v>
      </c>
      <c r="J246" s="455">
        <f t="shared" si="21"/>
        <v>0</v>
      </c>
    </row>
    <row r="247" spans="2:10" ht="15.75">
      <c r="B247" s="448">
        <v>48791</v>
      </c>
      <c r="C247" s="449">
        <f t="shared" si="19"/>
        <v>0.0589</v>
      </c>
      <c r="D247" s="450">
        <f t="shared" si="20"/>
        <v>0.0085</v>
      </c>
      <c r="E247" s="451">
        <f t="shared" si="18"/>
        <v>0.0674</v>
      </c>
      <c r="F247" s="452"/>
      <c r="G247" s="459"/>
      <c r="H247" s="452">
        <f t="shared" si="22"/>
        <v>0</v>
      </c>
      <c r="I247" s="454">
        <v>31</v>
      </c>
      <c r="J247" s="455">
        <f t="shared" si="21"/>
        <v>0</v>
      </c>
    </row>
    <row r="248" spans="2:10" ht="15.75">
      <c r="B248" s="448">
        <v>48822</v>
      </c>
      <c r="C248" s="449">
        <f t="shared" si="19"/>
        <v>0.0589</v>
      </c>
      <c r="D248" s="450">
        <f t="shared" si="20"/>
        <v>0.0085</v>
      </c>
      <c r="E248" s="451">
        <f t="shared" si="18"/>
        <v>0.0674</v>
      </c>
      <c r="F248" s="452"/>
      <c r="G248" s="459"/>
      <c r="H248" s="452">
        <f t="shared" si="22"/>
        <v>0</v>
      </c>
      <c r="I248" s="508">
        <v>31</v>
      </c>
      <c r="J248" s="455">
        <f t="shared" si="21"/>
        <v>0</v>
      </c>
    </row>
    <row r="249" spans="2:10" ht="15.75">
      <c r="B249" s="448">
        <v>48851</v>
      </c>
      <c r="C249" s="449">
        <f t="shared" si="19"/>
        <v>0.0589</v>
      </c>
      <c r="D249" s="450">
        <f t="shared" si="20"/>
        <v>0.0085</v>
      </c>
      <c r="E249" s="451">
        <f t="shared" si="18"/>
        <v>0.0674</v>
      </c>
      <c r="F249" s="452"/>
      <c r="G249" s="459"/>
      <c r="H249" s="452">
        <f t="shared" si="22"/>
        <v>0</v>
      </c>
      <c r="I249" s="454">
        <v>29</v>
      </c>
      <c r="J249" s="455">
        <f t="shared" si="21"/>
        <v>0</v>
      </c>
    </row>
    <row r="250" spans="2:10" ht="15.75">
      <c r="B250" s="458">
        <v>48852</v>
      </c>
      <c r="C250" s="449">
        <f t="shared" si="19"/>
        <v>0.0589</v>
      </c>
      <c r="D250" s="450">
        <f t="shared" si="20"/>
        <v>0.0085</v>
      </c>
      <c r="E250" s="451">
        <f t="shared" si="18"/>
        <v>0.0674</v>
      </c>
      <c r="F250" s="452"/>
      <c r="G250" s="459"/>
      <c r="H250" s="452">
        <f t="shared" si="22"/>
        <v>0</v>
      </c>
      <c r="I250" s="454">
        <v>1</v>
      </c>
      <c r="J250" s="455">
        <f t="shared" si="21"/>
        <v>0</v>
      </c>
    </row>
    <row r="251" spans="2:10" ht="15.75">
      <c r="B251" s="461">
        <v>48883</v>
      </c>
      <c r="C251" s="449">
        <f t="shared" si="19"/>
        <v>0.0589</v>
      </c>
      <c r="D251" s="450">
        <f t="shared" si="20"/>
        <v>0.0085</v>
      </c>
      <c r="E251" s="451">
        <f t="shared" si="18"/>
        <v>0.0674</v>
      </c>
      <c r="F251" s="452"/>
      <c r="G251" s="459"/>
      <c r="H251" s="452">
        <f t="shared" si="22"/>
        <v>0</v>
      </c>
      <c r="I251" s="508">
        <v>31</v>
      </c>
      <c r="J251" s="455">
        <f t="shared" si="21"/>
        <v>0</v>
      </c>
    </row>
    <row r="252" spans="2:10" ht="15.75">
      <c r="B252" s="461">
        <v>48913</v>
      </c>
      <c r="C252" s="449">
        <f t="shared" si="19"/>
        <v>0.0589</v>
      </c>
      <c r="D252" s="450">
        <f t="shared" si="20"/>
        <v>0.0085</v>
      </c>
      <c r="E252" s="451">
        <f t="shared" si="18"/>
        <v>0.0674</v>
      </c>
      <c r="F252" s="452"/>
      <c r="G252" s="459"/>
      <c r="H252" s="452">
        <f t="shared" si="22"/>
        <v>0</v>
      </c>
      <c r="I252" s="508">
        <v>30</v>
      </c>
      <c r="J252" s="455">
        <f t="shared" si="21"/>
        <v>0</v>
      </c>
    </row>
    <row r="253" spans="2:10" ht="15.75">
      <c r="B253" s="461">
        <v>48942</v>
      </c>
      <c r="C253" s="449">
        <f t="shared" si="19"/>
        <v>0.0589</v>
      </c>
      <c r="D253" s="450">
        <f t="shared" si="20"/>
        <v>0.0085</v>
      </c>
      <c r="E253" s="451">
        <f t="shared" si="18"/>
        <v>0.0674</v>
      </c>
      <c r="F253" s="452"/>
      <c r="G253" s="459"/>
      <c r="H253" s="452">
        <f t="shared" si="22"/>
        <v>0</v>
      </c>
      <c r="I253" s="508">
        <v>29</v>
      </c>
      <c r="J253" s="455">
        <f t="shared" si="21"/>
        <v>0</v>
      </c>
    </row>
    <row r="254" spans="2:10" ht="15.75">
      <c r="B254" s="458">
        <v>48943</v>
      </c>
      <c r="C254" s="449">
        <f t="shared" si="19"/>
        <v>0.0589</v>
      </c>
      <c r="D254" s="450">
        <f t="shared" si="20"/>
        <v>0.0085</v>
      </c>
      <c r="E254" s="451">
        <f t="shared" si="18"/>
        <v>0.0674</v>
      </c>
      <c r="F254" s="452"/>
      <c r="G254" s="459"/>
      <c r="H254" s="452">
        <f t="shared" si="22"/>
        <v>0</v>
      </c>
      <c r="I254" s="508">
        <v>1</v>
      </c>
      <c r="J254" s="455">
        <f t="shared" si="21"/>
        <v>0</v>
      </c>
    </row>
    <row r="255" spans="2:10" ht="15.75">
      <c r="B255" s="469">
        <v>48944</v>
      </c>
      <c r="C255" s="470">
        <f t="shared" si="19"/>
        <v>0.0589</v>
      </c>
      <c r="D255" s="471">
        <f t="shared" si="20"/>
        <v>0.0085</v>
      </c>
      <c r="E255" s="472">
        <f t="shared" si="18"/>
        <v>0.0674</v>
      </c>
      <c r="F255" s="473"/>
      <c r="G255" s="554"/>
      <c r="H255" s="473">
        <f t="shared" si="22"/>
        <v>0</v>
      </c>
      <c r="I255" s="475">
        <v>1</v>
      </c>
      <c r="J255" s="476">
        <f t="shared" si="21"/>
        <v>0</v>
      </c>
    </row>
    <row r="256" spans="2:11" ht="15.75">
      <c r="B256" s="479">
        <v>48975</v>
      </c>
      <c r="C256" s="421">
        <f t="shared" si="19"/>
        <v>0.0589</v>
      </c>
      <c r="D256" s="422">
        <f t="shared" si="20"/>
        <v>0.0085</v>
      </c>
      <c r="E256" s="423">
        <f t="shared" si="18"/>
        <v>0.0674</v>
      </c>
      <c r="F256" s="426"/>
      <c r="G256" s="425"/>
      <c r="H256" s="426">
        <f t="shared" si="22"/>
        <v>0</v>
      </c>
      <c r="I256" s="427">
        <v>31</v>
      </c>
      <c r="J256" s="428">
        <f t="shared" si="21"/>
        <v>0</v>
      </c>
      <c r="K256" s="555">
        <f>SUM(J256:J273)</f>
        <v>0</v>
      </c>
    </row>
    <row r="257" spans="2:10" ht="15.75">
      <c r="B257" s="481">
        <v>49003</v>
      </c>
      <c r="C257" s="482">
        <f t="shared" si="19"/>
        <v>0.0589</v>
      </c>
      <c r="D257" s="483">
        <f t="shared" si="20"/>
        <v>0.0085</v>
      </c>
      <c r="E257" s="484">
        <f t="shared" si="18"/>
        <v>0.0674</v>
      </c>
      <c r="F257" s="485"/>
      <c r="G257" s="489"/>
      <c r="H257" s="485">
        <f t="shared" si="22"/>
        <v>0</v>
      </c>
      <c r="I257" s="487">
        <v>28</v>
      </c>
      <c r="J257" s="488">
        <f t="shared" si="21"/>
        <v>0</v>
      </c>
    </row>
    <row r="258" spans="2:10" ht="15.75">
      <c r="B258" s="481">
        <v>49032</v>
      </c>
      <c r="C258" s="482">
        <f t="shared" si="19"/>
        <v>0.0589</v>
      </c>
      <c r="D258" s="483">
        <f t="shared" si="20"/>
        <v>0.0085</v>
      </c>
      <c r="E258" s="484">
        <f t="shared" si="18"/>
        <v>0.0674</v>
      </c>
      <c r="F258" s="485"/>
      <c r="G258" s="489"/>
      <c r="H258" s="485">
        <f t="shared" si="22"/>
        <v>0</v>
      </c>
      <c r="I258" s="487">
        <v>29</v>
      </c>
      <c r="J258" s="488">
        <f t="shared" si="21"/>
        <v>0</v>
      </c>
    </row>
    <row r="259" spans="2:10" ht="15.75">
      <c r="B259" s="490">
        <v>49033</v>
      </c>
      <c r="C259" s="482">
        <f t="shared" si="19"/>
        <v>0.0589</v>
      </c>
      <c r="D259" s="483">
        <f t="shared" si="20"/>
        <v>0.0085</v>
      </c>
      <c r="E259" s="484">
        <f t="shared" si="18"/>
        <v>0.0674</v>
      </c>
      <c r="F259" s="485"/>
      <c r="G259" s="489"/>
      <c r="H259" s="485">
        <f t="shared" si="22"/>
        <v>0</v>
      </c>
      <c r="I259" s="487">
        <v>1</v>
      </c>
      <c r="J259" s="488">
        <f t="shared" si="21"/>
        <v>0</v>
      </c>
    </row>
    <row r="260" spans="2:10" ht="15.75">
      <c r="B260" s="481">
        <v>49034</v>
      </c>
      <c r="C260" s="482">
        <f t="shared" si="19"/>
        <v>0.0589</v>
      </c>
      <c r="D260" s="483">
        <f t="shared" si="20"/>
        <v>0.0085</v>
      </c>
      <c r="E260" s="484">
        <f t="shared" si="18"/>
        <v>0.0674</v>
      </c>
      <c r="F260" s="485"/>
      <c r="G260" s="489"/>
      <c r="H260" s="485">
        <f t="shared" si="22"/>
        <v>0</v>
      </c>
      <c r="I260" s="487">
        <v>1</v>
      </c>
      <c r="J260" s="488">
        <f t="shared" si="21"/>
        <v>0</v>
      </c>
    </row>
    <row r="261" spans="2:10" ht="15.75">
      <c r="B261" s="481">
        <v>49064</v>
      </c>
      <c r="C261" s="482">
        <f t="shared" si="19"/>
        <v>0.0589</v>
      </c>
      <c r="D261" s="483">
        <f t="shared" si="20"/>
        <v>0.0085</v>
      </c>
      <c r="E261" s="484">
        <f t="shared" si="18"/>
        <v>0.0674</v>
      </c>
      <c r="F261" s="485"/>
      <c r="G261" s="489"/>
      <c r="H261" s="485">
        <f t="shared" si="22"/>
        <v>0</v>
      </c>
      <c r="I261" s="487">
        <v>30</v>
      </c>
      <c r="J261" s="488">
        <f t="shared" si="21"/>
        <v>0</v>
      </c>
    </row>
    <row r="262" spans="2:10" ht="15.75">
      <c r="B262" s="491">
        <v>49095</v>
      </c>
      <c r="C262" s="482">
        <f t="shared" si="19"/>
        <v>0.0589</v>
      </c>
      <c r="D262" s="483">
        <f t="shared" si="20"/>
        <v>0.0085</v>
      </c>
      <c r="E262" s="484">
        <f t="shared" si="18"/>
        <v>0.0674</v>
      </c>
      <c r="F262" s="485"/>
      <c r="G262" s="489"/>
      <c r="H262" s="485">
        <f t="shared" si="22"/>
        <v>0</v>
      </c>
      <c r="I262" s="487">
        <v>31</v>
      </c>
      <c r="J262" s="488">
        <f t="shared" si="21"/>
        <v>0</v>
      </c>
    </row>
    <row r="263" spans="2:10" ht="15.75">
      <c r="B263" s="491">
        <v>49124</v>
      </c>
      <c r="C263" s="482">
        <f t="shared" si="19"/>
        <v>0.0589</v>
      </c>
      <c r="D263" s="483">
        <f t="shared" si="20"/>
        <v>0.0085</v>
      </c>
      <c r="E263" s="484">
        <f t="shared" si="18"/>
        <v>0.0674</v>
      </c>
      <c r="F263" s="498"/>
      <c r="G263" s="531"/>
      <c r="H263" s="485">
        <f t="shared" si="22"/>
        <v>0</v>
      </c>
      <c r="I263" s="493">
        <v>29</v>
      </c>
      <c r="J263" s="488">
        <f t="shared" si="21"/>
        <v>0</v>
      </c>
    </row>
    <row r="264" spans="2:10" ht="15.75">
      <c r="B264" s="490">
        <v>49125</v>
      </c>
      <c r="C264" s="482">
        <f t="shared" si="19"/>
        <v>0.0589</v>
      </c>
      <c r="D264" s="483">
        <f t="shared" si="20"/>
        <v>0.0085</v>
      </c>
      <c r="E264" s="484">
        <f t="shared" si="18"/>
        <v>0.0674</v>
      </c>
      <c r="F264" s="485"/>
      <c r="G264" s="489"/>
      <c r="H264" s="485">
        <f t="shared" si="22"/>
        <v>0</v>
      </c>
      <c r="I264" s="487">
        <v>1</v>
      </c>
      <c r="J264" s="488">
        <f t="shared" si="21"/>
        <v>0</v>
      </c>
    </row>
    <row r="265" spans="2:10" ht="15.75">
      <c r="B265" s="481">
        <v>49156</v>
      </c>
      <c r="C265" s="482">
        <f t="shared" si="19"/>
        <v>0.0589</v>
      </c>
      <c r="D265" s="483">
        <f t="shared" si="20"/>
        <v>0.0085</v>
      </c>
      <c r="E265" s="484">
        <f t="shared" si="18"/>
        <v>0.0674</v>
      </c>
      <c r="F265" s="485"/>
      <c r="G265" s="489"/>
      <c r="H265" s="485">
        <f t="shared" si="22"/>
        <v>0</v>
      </c>
      <c r="I265" s="487">
        <v>31</v>
      </c>
      <c r="J265" s="488">
        <f t="shared" si="21"/>
        <v>0</v>
      </c>
    </row>
    <row r="266" spans="2:10" ht="15.75">
      <c r="B266" s="481">
        <v>49187</v>
      </c>
      <c r="C266" s="482">
        <f t="shared" si="19"/>
        <v>0.0589</v>
      </c>
      <c r="D266" s="483">
        <f t="shared" si="20"/>
        <v>0.0085</v>
      </c>
      <c r="E266" s="484">
        <f t="shared" si="18"/>
        <v>0.0674</v>
      </c>
      <c r="F266" s="485"/>
      <c r="G266" s="489"/>
      <c r="H266" s="485">
        <f t="shared" si="22"/>
        <v>0</v>
      </c>
      <c r="I266" s="493">
        <v>31</v>
      </c>
      <c r="J266" s="488">
        <f t="shared" si="21"/>
        <v>0</v>
      </c>
    </row>
    <row r="267" spans="2:10" ht="15.75">
      <c r="B267" s="481">
        <v>49216</v>
      </c>
      <c r="C267" s="482">
        <f t="shared" si="19"/>
        <v>0.0589</v>
      </c>
      <c r="D267" s="483">
        <f t="shared" si="20"/>
        <v>0.0085</v>
      </c>
      <c r="E267" s="484">
        <f t="shared" si="18"/>
        <v>0.0674</v>
      </c>
      <c r="F267" s="485"/>
      <c r="G267" s="489"/>
      <c r="H267" s="485">
        <f t="shared" si="22"/>
        <v>0</v>
      </c>
      <c r="I267" s="487">
        <v>29</v>
      </c>
      <c r="J267" s="488">
        <f t="shared" si="21"/>
        <v>0</v>
      </c>
    </row>
    <row r="268" spans="2:10" ht="15.75">
      <c r="B268" s="490">
        <v>49217</v>
      </c>
      <c r="C268" s="482">
        <f t="shared" si="19"/>
        <v>0.0589</v>
      </c>
      <c r="D268" s="483">
        <f t="shared" si="20"/>
        <v>0.0085</v>
      </c>
      <c r="E268" s="484">
        <f t="shared" si="18"/>
        <v>0.0674</v>
      </c>
      <c r="F268" s="485"/>
      <c r="G268" s="489"/>
      <c r="H268" s="485">
        <f t="shared" si="22"/>
        <v>0</v>
      </c>
      <c r="I268" s="487">
        <v>1</v>
      </c>
      <c r="J268" s="488">
        <f t="shared" si="21"/>
        <v>0</v>
      </c>
    </row>
    <row r="269" spans="2:10" ht="15.75">
      <c r="B269" s="491">
        <v>49248</v>
      </c>
      <c r="C269" s="482">
        <f t="shared" si="19"/>
        <v>0.0589</v>
      </c>
      <c r="D269" s="483">
        <f t="shared" si="20"/>
        <v>0.0085</v>
      </c>
      <c r="E269" s="484">
        <f t="shared" si="18"/>
        <v>0.0674</v>
      </c>
      <c r="F269" s="485"/>
      <c r="G269" s="489"/>
      <c r="H269" s="485">
        <f t="shared" si="22"/>
        <v>0</v>
      </c>
      <c r="I269" s="493">
        <v>31</v>
      </c>
      <c r="J269" s="488">
        <f t="shared" si="21"/>
        <v>0</v>
      </c>
    </row>
    <row r="270" spans="2:10" ht="15.75">
      <c r="B270" s="491">
        <v>49278</v>
      </c>
      <c r="C270" s="482">
        <f t="shared" si="19"/>
        <v>0.0589</v>
      </c>
      <c r="D270" s="483">
        <f t="shared" si="20"/>
        <v>0.0085</v>
      </c>
      <c r="E270" s="484">
        <f t="shared" si="18"/>
        <v>0.0674</v>
      </c>
      <c r="F270" s="485"/>
      <c r="G270" s="489"/>
      <c r="H270" s="485">
        <f t="shared" si="22"/>
        <v>0</v>
      </c>
      <c r="I270" s="493">
        <v>30</v>
      </c>
      <c r="J270" s="488">
        <f t="shared" si="21"/>
        <v>0</v>
      </c>
    </row>
    <row r="271" spans="2:10" ht="15.75">
      <c r="B271" s="491">
        <v>49307</v>
      </c>
      <c r="C271" s="482">
        <f t="shared" si="19"/>
        <v>0.0589</v>
      </c>
      <c r="D271" s="483">
        <f t="shared" si="20"/>
        <v>0.0085</v>
      </c>
      <c r="E271" s="484">
        <f t="shared" si="18"/>
        <v>0.0674</v>
      </c>
      <c r="F271" s="485"/>
      <c r="G271" s="489"/>
      <c r="H271" s="485">
        <f t="shared" si="22"/>
        <v>0</v>
      </c>
      <c r="I271" s="493">
        <v>29</v>
      </c>
      <c r="J271" s="488">
        <f t="shared" si="21"/>
        <v>0</v>
      </c>
    </row>
    <row r="272" spans="2:10" ht="15.75">
      <c r="B272" s="490">
        <v>49308</v>
      </c>
      <c r="C272" s="482">
        <f t="shared" si="19"/>
        <v>0.0589</v>
      </c>
      <c r="D272" s="483">
        <f t="shared" si="20"/>
        <v>0.0085</v>
      </c>
      <c r="E272" s="484">
        <f t="shared" si="18"/>
        <v>0.0674</v>
      </c>
      <c r="F272" s="485"/>
      <c r="G272" s="489"/>
      <c r="H272" s="485">
        <f t="shared" si="22"/>
        <v>0</v>
      </c>
      <c r="I272" s="493">
        <v>1</v>
      </c>
      <c r="J272" s="488">
        <f t="shared" si="21"/>
        <v>0</v>
      </c>
    </row>
    <row r="273" spans="2:10" ht="15.75">
      <c r="B273" s="430">
        <v>49309</v>
      </c>
      <c r="C273" s="431">
        <f t="shared" si="19"/>
        <v>0.0589</v>
      </c>
      <c r="D273" s="432">
        <f t="shared" si="20"/>
        <v>0.0085</v>
      </c>
      <c r="E273" s="433">
        <f t="shared" si="18"/>
        <v>0.0674</v>
      </c>
      <c r="F273" s="434"/>
      <c r="G273" s="534"/>
      <c r="H273" s="434">
        <f t="shared" si="22"/>
        <v>0</v>
      </c>
      <c r="I273" s="436">
        <v>1</v>
      </c>
      <c r="J273" s="437">
        <f t="shared" si="21"/>
        <v>0</v>
      </c>
    </row>
    <row r="274" spans="2:11" ht="15.75">
      <c r="B274" s="440">
        <v>49340</v>
      </c>
      <c r="C274" s="441">
        <f t="shared" si="19"/>
        <v>0.0589</v>
      </c>
      <c r="D274" s="442">
        <f t="shared" si="20"/>
        <v>0.0085</v>
      </c>
      <c r="E274" s="443">
        <f t="shared" si="18"/>
        <v>0.0674</v>
      </c>
      <c r="F274" s="444"/>
      <c r="G274" s="506"/>
      <c r="H274" s="444">
        <f t="shared" si="22"/>
        <v>0</v>
      </c>
      <c r="I274" s="446">
        <v>31</v>
      </c>
      <c r="J274" s="447">
        <f t="shared" si="21"/>
        <v>0</v>
      </c>
      <c r="K274" s="555">
        <f>SUM(J274:J291)</f>
        <v>0</v>
      </c>
    </row>
    <row r="275" spans="2:10" ht="15.75">
      <c r="B275" s="448">
        <v>49368</v>
      </c>
      <c r="C275" s="449">
        <f t="shared" si="19"/>
        <v>0.0589</v>
      </c>
      <c r="D275" s="450">
        <f t="shared" si="20"/>
        <v>0.0085</v>
      </c>
      <c r="E275" s="451">
        <f t="shared" si="18"/>
        <v>0.0674</v>
      </c>
      <c r="F275" s="452"/>
      <c r="G275" s="459"/>
      <c r="H275" s="452">
        <f t="shared" si="22"/>
        <v>0</v>
      </c>
      <c r="I275" s="454">
        <v>28</v>
      </c>
      <c r="J275" s="455">
        <f t="shared" si="21"/>
        <v>0</v>
      </c>
    </row>
    <row r="276" spans="2:10" ht="15.75">
      <c r="B276" s="448">
        <v>49397</v>
      </c>
      <c r="C276" s="449">
        <f t="shared" si="19"/>
        <v>0.0589</v>
      </c>
      <c r="D276" s="450">
        <f t="shared" si="20"/>
        <v>0.0085</v>
      </c>
      <c r="E276" s="451">
        <f aca="true" t="shared" si="23" ref="E276:E339">C276+D276</f>
        <v>0.0674</v>
      </c>
      <c r="F276" s="452"/>
      <c r="G276" s="459"/>
      <c r="H276" s="452">
        <f t="shared" si="22"/>
        <v>0</v>
      </c>
      <c r="I276" s="454">
        <v>29</v>
      </c>
      <c r="J276" s="455">
        <f t="shared" si="21"/>
        <v>0</v>
      </c>
    </row>
    <row r="277" spans="2:10" ht="15.75">
      <c r="B277" s="458">
        <v>49398</v>
      </c>
      <c r="C277" s="449">
        <f aca="true" t="shared" si="24" ref="C277:C340">C276</f>
        <v>0.0589</v>
      </c>
      <c r="D277" s="450">
        <f aca="true" t="shared" si="25" ref="D277:D340">D276</f>
        <v>0.0085</v>
      </c>
      <c r="E277" s="451">
        <f t="shared" si="23"/>
        <v>0.0674</v>
      </c>
      <c r="F277" s="452"/>
      <c r="G277" s="459"/>
      <c r="H277" s="452">
        <f t="shared" si="22"/>
        <v>0</v>
      </c>
      <c r="I277" s="454">
        <v>1</v>
      </c>
      <c r="J277" s="455">
        <f t="shared" si="21"/>
        <v>0</v>
      </c>
    </row>
    <row r="278" spans="2:10" ht="15.75">
      <c r="B278" s="448">
        <v>49399</v>
      </c>
      <c r="C278" s="449">
        <f t="shared" si="24"/>
        <v>0.0589</v>
      </c>
      <c r="D278" s="450">
        <f t="shared" si="25"/>
        <v>0.0085</v>
      </c>
      <c r="E278" s="451">
        <f t="shared" si="23"/>
        <v>0.0674</v>
      </c>
      <c r="F278" s="452"/>
      <c r="G278" s="459"/>
      <c r="H278" s="452">
        <f t="shared" si="22"/>
        <v>0</v>
      </c>
      <c r="I278" s="454">
        <v>1</v>
      </c>
      <c r="J278" s="455">
        <f t="shared" si="21"/>
        <v>0</v>
      </c>
    </row>
    <row r="279" spans="2:10" ht="15.75">
      <c r="B279" s="448">
        <v>49429</v>
      </c>
      <c r="C279" s="449">
        <f t="shared" si="24"/>
        <v>0.0589</v>
      </c>
      <c r="D279" s="450">
        <f t="shared" si="25"/>
        <v>0.0085</v>
      </c>
      <c r="E279" s="451">
        <f t="shared" si="23"/>
        <v>0.0674</v>
      </c>
      <c r="F279" s="452"/>
      <c r="G279" s="459"/>
      <c r="H279" s="452">
        <f t="shared" si="22"/>
        <v>0</v>
      </c>
      <c r="I279" s="454">
        <v>30</v>
      </c>
      <c r="J279" s="455">
        <f t="shared" si="21"/>
        <v>0</v>
      </c>
    </row>
    <row r="280" spans="2:10" ht="15.75">
      <c r="B280" s="461">
        <v>49460</v>
      </c>
      <c r="C280" s="449">
        <f t="shared" si="24"/>
        <v>0.0589</v>
      </c>
      <c r="D280" s="450">
        <f t="shared" si="25"/>
        <v>0.0085</v>
      </c>
      <c r="E280" s="451">
        <f t="shared" si="23"/>
        <v>0.0674</v>
      </c>
      <c r="F280" s="452"/>
      <c r="G280" s="459"/>
      <c r="H280" s="452">
        <f t="shared" si="22"/>
        <v>0</v>
      </c>
      <c r="I280" s="454">
        <v>31</v>
      </c>
      <c r="J280" s="455">
        <f t="shared" si="21"/>
        <v>0</v>
      </c>
    </row>
    <row r="281" spans="2:10" ht="15.75">
      <c r="B281" s="461">
        <v>49489</v>
      </c>
      <c r="C281" s="449">
        <f t="shared" si="24"/>
        <v>0.0589</v>
      </c>
      <c r="D281" s="450">
        <f t="shared" si="25"/>
        <v>0.0085</v>
      </c>
      <c r="E281" s="451">
        <f t="shared" si="23"/>
        <v>0.0674</v>
      </c>
      <c r="F281" s="511"/>
      <c r="G281" s="512"/>
      <c r="H281" s="452">
        <f t="shared" si="22"/>
        <v>0</v>
      </c>
      <c r="I281" s="508">
        <v>29</v>
      </c>
      <c r="J281" s="455">
        <f t="shared" si="21"/>
        <v>0</v>
      </c>
    </row>
    <row r="282" spans="2:10" ht="15.75">
      <c r="B282" s="458">
        <v>49490</v>
      </c>
      <c r="C282" s="449">
        <f t="shared" si="24"/>
        <v>0.0589</v>
      </c>
      <c r="D282" s="450">
        <f t="shared" si="25"/>
        <v>0.0085</v>
      </c>
      <c r="E282" s="451">
        <f t="shared" si="23"/>
        <v>0.0674</v>
      </c>
      <c r="F282" s="452"/>
      <c r="G282" s="459"/>
      <c r="H282" s="452">
        <f t="shared" si="22"/>
        <v>0</v>
      </c>
      <c r="I282" s="454">
        <v>1</v>
      </c>
      <c r="J282" s="455">
        <f t="shared" si="21"/>
        <v>0</v>
      </c>
    </row>
    <row r="283" spans="2:10" ht="15.75">
      <c r="B283" s="448">
        <v>49521</v>
      </c>
      <c r="C283" s="449">
        <f t="shared" si="24"/>
        <v>0.0589</v>
      </c>
      <c r="D283" s="450">
        <f t="shared" si="25"/>
        <v>0.0085</v>
      </c>
      <c r="E283" s="451">
        <f t="shared" si="23"/>
        <v>0.0674</v>
      </c>
      <c r="F283" s="452"/>
      <c r="G283" s="459"/>
      <c r="H283" s="452">
        <f t="shared" si="22"/>
        <v>0</v>
      </c>
      <c r="I283" s="454">
        <v>31</v>
      </c>
      <c r="J283" s="455">
        <f t="shared" si="21"/>
        <v>0</v>
      </c>
    </row>
    <row r="284" spans="2:10" ht="15.75">
      <c r="B284" s="448">
        <v>49552</v>
      </c>
      <c r="C284" s="449">
        <f t="shared" si="24"/>
        <v>0.0589</v>
      </c>
      <c r="D284" s="450">
        <f t="shared" si="25"/>
        <v>0.0085</v>
      </c>
      <c r="E284" s="451">
        <f t="shared" si="23"/>
        <v>0.0674</v>
      </c>
      <c r="F284" s="452"/>
      <c r="G284" s="459"/>
      <c r="H284" s="452">
        <f t="shared" si="22"/>
        <v>0</v>
      </c>
      <c r="I284" s="508">
        <v>31</v>
      </c>
      <c r="J284" s="455">
        <f t="shared" si="21"/>
        <v>0</v>
      </c>
    </row>
    <row r="285" spans="2:10" ht="15.75">
      <c r="B285" s="448">
        <v>49581</v>
      </c>
      <c r="C285" s="449">
        <f t="shared" si="24"/>
        <v>0.0589</v>
      </c>
      <c r="D285" s="450">
        <f t="shared" si="25"/>
        <v>0.0085</v>
      </c>
      <c r="E285" s="451">
        <f t="shared" si="23"/>
        <v>0.0674</v>
      </c>
      <c r="F285" s="452"/>
      <c r="G285" s="459"/>
      <c r="H285" s="452">
        <f t="shared" si="22"/>
        <v>0</v>
      </c>
      <c r="I285" s="454">
        <v>29</v>
      </c>
      <c r="J285" s="455">
        <f t="shared" si="21"/>
        <v>0</v>
      </c>
    </row>
    <row r="286" spans="2:10" ht="15.75">
      <c r="B286" s="458">
        <v>49582</v>
      </c>
      <c r="C286" s="449">
        <f t="shared" si="24"/>
        <v>0.0589</v>
      </c>
      <c r="D286" s="450">
        <f t="shared" si="25"/>
        <v>0.0085</v>
      </c>
      <c r="E286" s="451">
        <f t="shared" si="23"/>
        <v>0.0674</v>
      </c>
      <c r="F286" s="452"/>
      <c r="G286" s="459"/>
      <c r="H286" s="452">
        <f t="shared" si="22"/>
        <v>0</v>
      </c>
      <c r="I286" s="454">
        <v>1</v>
      </c>
      <c r="J286" s="455">
        <f aca="true" t="shared" si="26" ref="J286:J349">H286*E286*I286/365</f>
        <v>0</v>
      </c>
    </row>
    <row r="287" spans="2:10" ht="15.75">
      <c r="B287" s="461">
        <v>49613</v>
      </c>
      <c r="C287" s="449">
        <f t="shared" si="24"/>
        <v>0.0589</v>
      </c>
      <c r="D287" s="450">
        <f t="shared" si="25"/>
        <v>0.0085</v>
      </c>
      <c r="E287" s="451">
        <f t="shared" si="23"/>
        <v>0.0674</v>
      </c>
      <c r="F287" s="452"/>
      <c r="G287" s="459"/>
      <c r="H287" s="452">
        <f t="shared" si="22"/>
        <v>0</v>
      </c>
      <c r="I287" s="508">
        <v>31</v>
      </c>
      <c r="J287" s="455">
        <f t="shared" si="26"/>
        <v>0</v>
      </c>
    </row>
    <row r="288" spans="2:10" ht="15.75">
      <c r="B288" s="461">
        <v>49643</v>
      </c>
      <c r="C288" s="449">
        <f t="shared" si="24"/>
        <v>0.0589</v>
      </c>
      <c r="D288" s="450">
        <f t="shared" si="25"/>
        <v>0.0085</v>
      </c>
      <c r="E288" s="451">
        <f t="shared" si="23"/>
        <v>0.0674</v>
      </c>
      <c r="F288" s="452"/>
      <c r="G288" s="459"/>
      <c r="H288" s="452">
        <f t="shared" si="22"/>
        <v>0</v>
      </c>
      <c r="I288" s="508">
        <v>30</v>
      </c>
      <c r="J288" s="455">
        <f t="shared" si="26"/>
        <v>0</v>
      </c>
    </row>
    <row r="289" spans="2:10" ht="15.75">
      <c r="B289" s="461">
        <v>49672</v>
      </c>
      <c r="C289" s="449">
        <f t="shared" si="24"/>
        <v>0.0589</v>
      </c>
      <c r="D289" s="450">
        <f t="shared" si="25"/>
        <v>0.0085</v>
      </c>
      <c r="E289" s="451">
        <f t="shared" si="23"/>
        <v>0.0674</v>
      </c>
      <c r="F289" s="452"/>
      <c r="G289" s="459"/>
      <c r="H289" s="452">
        <f t="shared" si="22"/>
        <v>0</v>
      </c>
      <c r="I289" s="508">
        <v>29</v>
      </c>
      <c r="J289" s="455">
        <f t="shared" si="26"/>
        <v>0</v>
      </c>
    </row>
    <row r="290" spans="2:10" ht="15.75">
      <c r="B290" s="458">
        <v>49673</v>
      </c>
      <c r="C290" s="449">
        <f t="shared" si="24"/>
        <v>0.0589</v>
      </c>
      <c r="D290" s="450">
        <f t="shared" si="25"/>
        <v>0.0085</v>
      </c>
      <c r="E290" s="451">
        <f t="shared" si="23"/>
        <v>0.0674</v>
      </c>
      <c r="F290" s="452"/>
      <c r="G290" s="459"/>
      <c r="H290" s="452">
        <f t="shared" si="22"/>
        <v>0</v>
      </c>
      <c r="I290" s="508">
        <v>1</v>
      </c>
      <c r="J290" s="455">
        <f t="shared" si="26"/>
        <v>0</v>
      </c>
    </row>
    <row r="291" spans="2:10" ht="15.75">
      <c r="B291" s="469">
        <v>49674</v>
      </c>
      <c r="C291" s="470">
        <f t="shared" si="24"/>
        <v>0.0589</v>
      </c>
      <c r="D291" s="471">
        <f t="shared" si="25"/>
        <v>0.0085</v>
      </c>
      <c r="E291" s="472">
        <f t="shared" si="23"/>
        <v>0.0674</v>
      </c>
      <c r="F291" s="473"/>
      <c r="G291" s="554"/>
      <c r="H291" s="473">
        <f t="shared" si="22"/>
        <v>0</v>
      </c>
      <c r="I291" s="475">
        <v>1</v>
      </c>
      <c r="J291" s="476">
        <f t="shared" si="26"/>
        <v>0</v>
      </c>
    </row>
    <row r="292" spans="2:11" ht="15.75">
      <c r="B292" s="479">
        <v>49705</v>
      </c>
      <c r="C292" s="421">
        <f t="shared" si="24"/>
        <v>0.0589</v>
      </c>
      <c r="D292" s="422">
        <f t="shared" si="25"/>
        <v>0.0085</v>
      </c>
      <c r="E292" s="423">
        <f t="shared" si="23"/>
        <v>0.0674</v>
      </c>
      <c r="F292" s="426"/>
      <c r="G292" s="425"/>
      <c r="H292" s="426">
        <f t="shared" si="22"/>
        <v>0</v>
      </c>
      <c r="I292" s="427">
        <v>31</v>
      </c>
      <c r="J292" s="428">
        <f t="shared" si="26"/>
        <v>0</v>
      </c>
      <c r="K292" s="555">
        <f>SUM(J292:J309)</f>
        <v>0</v>
      </c>
    </row>
    <row r="293" spans="2:10" ht="15.75">
      <c r="B293" s="481">
        <v>49734</v>
      </c>
      <c r="C293" s="482">
        <f t="shared" si="24"/>
        <v>0.0589</v>
      </c>
      <c r="D293" s="483">
        <f t="shared" si="25"/>
        <v>0.0085</v>
      </c>
      <c r="E293" s="484">
        <f t="shared" si="23"/>
        <v>0.0674</v>
      </c>
      <c r="F293" s="485"/>
      <c r="G293" s="489"/>
      <c r="H293" s="485">
        <f t="shared" si="22"/>
        <v>0</v>
      </c>
      <c r="I293" s="487">
        <v>29</v>
      </c>
      <c r="J293" s="488">
        <f t="shared" si="26"/>
        <v>0</v>
      </c>
    </row>
    <row r="294" spans="2:10" ht="15.75">
      <c r="B294" s="481">
        <v>49763</v>
      </c>
      <c r="C294" s="482">
        <f t="shared" si="24"/>
        <v>0.0589</v>
      </c>
      <c r="D294" s="483">
        <f t="shared" si="25"/>
        <v>0.0085</v>
      </c>
      <c r="E294" s="484">
        <f t="shared" si="23"/>
        <v>0.0674</v>
      </c>
      <c r="F294" s="485"/>
      <c r="G294" s="489"/>
      <c r="H294" s="485">
        <f t="shared" si="22"/>
        <v>0</v>
      </c>
      <c r="I294" s="487">
        <v>29</v>
      </c>
      <c r="J294" s="488">
        <f t="shared" si="26"/>
        <v>0</v>
      </c>
    </row>
    <row r="295" spans="2:10" ht="15.75">
      <c r="B295" s="490">
        <v>49764</v>
      </c>
      <c r="C295" s="482">
        <f t="shared" si="24"/>
        <v>0.0589</v>
      </c>
      <c r="D295" s="483">
        <f t="shared" si="25"/>
        <v>0.0085</v>
      </c>
      <c r="E295" s="484">
        <f t="shared" si="23"/>
        <v>0.0674</v>
      </c>
      <c r="F295" s="485"/>
      <c r="G295" s="489"/>
      <c r="H295" s="485">
        <f t="shared" si="22"/>
        <v>0</v>
      </c>
      <c r="I295" s="487">
        <v>1</v>
      </c>
      <c r="J295" s="488">
        <f t="shared" si="26"/>
        <v>0</v>
      </c>
    </row>
    <row r="296" spans="2:10" ht="15.75">
      <c r="B296" s="481">
        <v>49765</v>
      </c>
      <c r="C296" s="482">
        <f t="shared" si="24"/>
        <v>0.0589</v>
      </c>
      <c r="D296" s="483">
        <f t="shared" si="25"/>
        <v>0.0085</v>
      </c>
      <c r="E296" s="484">
        <f t="shared" si="23"/>
        <v>0.0674</v>
      </c>
      <c r="F296" s="485"/>
      <c r="G296" s="489"/>
      <c r="H296" s="485">
        <f t="shared" si="22"/>
        <v>0</v>
      </c>
      <c r="I296" s="487">
        <v>1</v>
      </c>
      <c r="J296" s="488">
        <f t="shared" si="26"/>
        <v>0</v>
      </c>
    </row>
    <row r="297" spans="2:10" ht="15.75">
      <c r="B297" s="481">
        <v>49795</v>
      </c>
      <c r="C297" s="482">
        <f t="shared" si="24"/>
        <v>0.0589</v>
      </c>
      <c r="D297" s="483">
        <f t="shared" si="25"/>
        <v>0.0085</v>
      </c>
      <c r="E297" s="484">
        <f t="shared" si="23"/>
        <v>0.0674</v>
      </c>
      <c r="F297" s="485"/>
      <c r="G297" s="489"/>
      <c r="H297" s="485">
        <f t="shared" si="22"/>
        <v>0</v>
      </c>
      <c r="I297" s="487">
        <v>30</v>
      </c>
      <c r="J297" s="488">
        <f t="shared" si="26"/>
        <v>0</v>
      </c>
    </row>
    <row r="298" spans="2:10" ht="15.75">
      <c r="B298" s="491">
        <v>49826</v>
      </c>
      <c r="C298" s="482">
        <f t="shared" si="24"/>
        <v>0.0589</v>
      </c>
      <c r="D298" s="483">
        <f t="shared" si="25"/>
        <v>0.0085</v>
      </c>
      <c r="E298" s="484">
        <f t="shared" si="23"/>
        <v>0.0674</v>
      </c>
      <c r="F298" s="485"/>
      <c r="G298" s="489"/>
      <c r="H298" s="485">
        <f t="shared" si="22"/>
        <v>0</v>
      </c>
      <c r="I298" s="487">
        <v>31</v>
      </c>
      <c r="J298" s="488">
        <f t="shared" si="26"/>
        <v>0</v>
      </c>
    </row>
    <row r="299" spans="2:10" ht="15.75">
      <c r="B299" s="491">
        <v>49855</v>
      </c>
      <c r="C299" s="482">
        <f t="shared" si="24"/>
        <v>0.0589</v>
      </c>
      <c r="D299" s="483">
        <f t="shared" si="25"/>
        <v>0.0085</v>
      </c>
      <c r="E299" s="484">
        <f t="shared" si="23"/>
        <v>0.0674</v>
      </c>
      <c r="F299" s="498"/>
      <c r="G299" s="531"/>
      <c r="H299" s="485">
        <f t="shared" si="22"/>
        <v>0</v>
      </c>
      <c r="I299" s="493">
        <v>29</v>
      </c>
      <c r="J299" s="488">
        <f t="shared" si="26"/>
        <v>0</v>
      </c>
    </row>
    <row r="300" spans="2:10" ht="15.75">
      <c r="B300" s="490">
        <v>49856</v>
      </c>
      <c r="C300" s="482">
        <f t="shared" si="24"/>
        <v>0.0589</v>
      </c>
      <c r="D300" s="483">
        <f t="shared" si="25"/>
        <v>0.0085</v>
      </c>
      <c r="E300" s="484">
        <f t="shared" si="23"/>
        <v>0.0674</v>
      </c>
      <c r="F300" s="485"/>
      <c r="G300" s="489"/>
      <c r="H300" s="485">
        <f t="shared" si="22"/>
        <v>0</v>
      </c>
      <c r="I300" s="487">
        <v>1</v>
      </c>
      <c r="J300" s="488">
        <f t="shared" si="26"/>
        <v>0</v>
      </c>
    </row>
    <row r="301" spans="2:10" ht="15.75">
      <c r="B301" s="481">
        <v>49887</v>
      </c>
      <c r="C301" s="482">
        <f t="shared" si="24"/>
        <v>0.0589</v>
      </c>
      <c r="D301" s="483">
        <f t="shared" si="25"/>
        <v>0.0085</v>
      </c>
      <c r="E301" s="484">
        <f t="shared" si="23"/>
        <v>0.0674</v>
      </c>
      <c r="F301" s="485"/>
      <c r="G301" s="489"/>
      <c r="H301" s="485">
        <f t="shared" si="22"/>
        <v>0</v>
      </c>
      <c r="I301" s="487">
        <v>31</v>
      </c>
      <c r="J301" s="488">
        <f t="shared" si="26"/>
        <v>0</v>
      </c>
    </row>
    <row r="302" spans="2:10" ht="15.75">
      <c r="B302" s="481">
        <v>49918</v>
      </c>
      <c r="C302" s="482">
        <f t="shared" si="24"/>
        <v>0.0589</v>
      </c>
      <c r="D302" s="483">
        <f t="shared" si="25"/>
        <v>0.0085</v>
      </c>
      <c r="E302" s="484">
        <f t="shared" si="23"/>
        <v>0.0674</v>
      </c>
      <c r="F302" s="485"/>
      <c r="G302" s="489"/>
      <c r="H302" s="485">
        <f t="shared" si="22"/>
        <v>0</v>
      </c>
      <c r="I302" s="493">
        <v>31</v>
      </c>
      <c r="J302" s="488">
        <f t="shared" si="26"/>
        <v>0</v>
      </c>
    </row>
    <row r="303" spans="2:10" ht="15.75">
      <c r="B303" s="481">
        <v>49947</v>
      </c>
      <c r="C303" s="482">
        <f t="shared" si="24"/>
        <v>0.0589</v>
      </c>
      <c r="D303" s="483">
        <f t="shared" si="25"/>
        <v>0.0085</v>
      </c>
      <c r="E303" s="484">
        <f t="shared" si="23"/>
        <v>0.0674</v>
      </c>
      <c r="F303" s="485"/>
      <c r="G303" s="489"/>
      <c r="H303" s="485">
        <f t="shared" si="22"/>
        <v>0</v>
      </c>
      <c r="I303" s="487">
        <v>29</v>
      </c>
      <c r="J303" s="488">
        <f t="shared" si="26"/>
        <v>0</v>
      </c>
    </row>
    <row r="304" spans="2:10" ht="15.75">
      <c r="B304" s="490">
        <v>49948</v>
      </c>
      <c r="C304" s="482">
        <f t="shared" si="24"/>
        <v>0.0589</v>
      </c>
      <c r="D304" s="483">
        <f t="shared" si="25"/>
        <v>0.0085</v>
      </c>
      <c r="E304" s="484">
        <f t="shared" si="23"/>
        <v>0.0674</v>
      </c>
      <c r="F304" s="485"/>
      <c r="G304" s="489"/>
      <c r="H304" s="485">
        <f aca="true" t="shared" si="27" ref="H304:H367">H303-G304</f>
        <v>0</v>
      </c>
      <c r="I304" s="487">
        <v>1</v>
      </c>
      <c r="J304" s="488">
        <f t="shared" si="26"/>
        <v>0</v>
      </c>
    </row>
    <row r="305" spans="2:10" ht="15.75">
      <c r="B305" s="491">
        <v>49979</v>
      </c>
      <c r="C305" s="482">
        <f t="shared" si="24"/>
        <v>0.0589</v>
      </c>
      <c r="D305" s="483">
        <f t="shared" si="25"/>
        <v>0.0085</v>
      </c>
      <c r="E305" s="484">
        <f t="shared" si="23"/>
        <v>0.0674</v>
      </c>
      <c r="F305" s="485"/>
      <c r="G305" s="489"/>
      <c r="H305" s="485">
        <f t="shared" si="27"/>
        <v>0</v>
      </c>
      <c r="I305" s="493">
        <v>31</v>
      </c>
      <c r="J305" s="488">
        <f t="shared" si="26"/>
        <v>0</v>
      </c>
    </row>
    <row r="306" spans="2:10" ht="15.75">
      <c r="B306" s="491">
        <v>50009</v>
      </c>
      <c r="C306" s="482">
        <f t="shared" si="24"/>
        <v>0.0589</v>
      </c>
      <c r="D306" s="483">
        <f t="shared" si="25"/>
        <v>0.0085</v>
      </c>
      <c r="E306" s="484">
        <f t="shared" si="23"/>
        <v>0.0674</v>
      </c>
      <c r="F306" s="485"/>
      <c r="G306" s="489"/>
      <c r="H306" s="485">
        <f t="shared" si="27"/>
        <v>0</v>
      </c>
      <c r="I306" s="493">
        <v>30</v>
      </c>
      <c r="J306" s="488">
        <f t="shared" si="26"/>
        <v>0</v>
      </c>
    </row>
    <row r="307" spans="2:10" ht="15.75">
      <c r="B307" s="491">
        <v>50038</v>
      </c>
      <c r="C307" s="482">
        <f t="shared" si="24"/>
        <v>0.0589</v>
      </c>
      <c r="D307" s="483">
        <f t="shared" si="25"/>
        <v>0.0085</v>
      </c>
      <c r="E307" s="484">
        <f t="shared" si="23"/>
        <v>0.0674</v>
      </c>
      <c r="F307" s="485"/>
      <c r="G307" s="489"/>
      <c r="H307" s="485">
        <f t="shared" si="27"/>
        <v>0</v>
      </c>
      <c r="I307" s="493">
        <v>29</v>
      </c>
      <c r="J307" s="488">
        <f t="shared" si="26"/>
        <v>0</v>
      </c>
    </row>
    <row r="308" spans="2:10" ht="15.75">
      <c r="B308" s="490">
        <v>50039</v>
      </c>
      <c r="C308" s="482">
        <f t="shared" si="24"/>
        <v>0.0589</v>
      </c>
      <c r="D308" s="483">
        <f t="shared" si="25"/>
        <v>0.0085</v>
      </c>
      <c r="E308" s="484">
        <f t="shared" si="23"/>
        <v>0.0674</v>
      </c>
      <c r="F308" s="485"/>
      <c r="G308" s="489"/>
      <c r="H308" s="485">
        <f t="shared" si="27"/>
        <v>0</v>
      </c>
      <c r="I308" s="493">
        <v>1</v>
      </c>
      <c r="J308" s="488">
        <f t="shared" si="26"/>
        <v>0</v>
      </c>
    </row>
    <row r="309" spans="2:10" ht="15.75">
      <c r="B309" s="430">
        <v>50040</v>
      </c>
      <c r="C309" s="431">
        <f t="shared" si="24"/>
        <v>0.0589</v>
      </c>
      <c r="D309" s="432">
        <f t="shared" si="25"/>
        <v>0.0085</v>
      </c>
      <c r="E309" s="433">
        <f t="shared" si="23"/>
        <v>0.0674</v>
      </c>
      <c r="F309" s="434"/>
      <c r="G309" s="534"/>
      <c r="H309" s="434">
        <f t="shared" si="27"/>
        <v>0</v>
      </c>
      <c r="I309" s="436">
        <v>1</v>
      </c>
      <c r="J309" s="437">
        <f t="shared" si="26"/>
        <v>0</v>
      </c>
    </row>
    <row r="310" spans="2:11" ht="15.75">
      <c r="B310" s="440">
        <v>50071</v>
      </c>
      <c r="C310" s="441">
        <f t="shared" si="24"/>
        <v>0.0589</v>
      </c>
      <c r="D310" s="442">
        <f t="shared" si="25"/>
        <v>0.0085</v>
      </c>
      <c r="E310" s="443">
        <f t="shared" si="23"/>
        <v>0.0674</v>
      </c>
      <c r="F310" s="444"/>
      <c r="G310" s="506"/>
      <c r="H310" s="444">
        <f t="shared" si="27"/>
        <v>0</v>
      </c>
      <c r="I310" s="446">
        <v>31</v>
      </c>
      <c r="J310" s="447">
        <f t="shared" si="26"/>
        <v>0</v>
      </c>
      <c r="K310" s="555">
        <f>SUM(J310:J327)</f>
        <v>0</v>
      </c>
    </row>
    <row r="311" spans="2:10" ht="15.75">
      <c r="B311" s="448">
        <v>50099</v>
      </c>
      <c r="C311" s="449">
        <f t="shared" si="24"/>
        <v>0.0589</v>
      </c>
      <c r="D311" s="450">
        <f t="shared" si="25"/>
        <v>0.0085</v>
      </c>
      <c r="E311" s="451">
        <f t="shared" si="23"/>
        <v>0.0674</v>
      </c>
      <c r="F311" s="452"/>
      <c r="G311" s="459"/>
      <c r="H311" s="452">
        <f t="shared" si="27"/>
        <v>0</v>
      </c>
      <c r="I311" s="454">
        <v>28</v>
      </c>
      <c r="J311" s="455">
        <f t="shared" si="26"/>
        <v>0</v>
      </c>
    </row>
    <row r="312" spans="2:10" ht="15.75">
      <c r="B312" s="448">
        <v>50128</v>
      </c>
      <c r="C312" s="449">
        <f t="shared" si="24"/>
        <v>0.0589</v>
      </c>
      <c r="D312" s="450">
        <f t="shared" si="25"/>
        <v>0.0085</v>
      </c>
      <c r="E312" s="451">
        <f t="shared" si="23"/>
        <v>0.0674</v>
      </c>
      <c r="F312" s="452"/>
      <c r="G312" s="459"/>
      <c r="H312" s="452">
        <f t="shared" si="27"/>
        <v>0</v>
      </c>
      <c r="I312" s="454">
        <v>29</v>
      </c>
      <c r="J312" s="455">
        <f t="shared" si="26"/>
        <v>0</v>
      </c>
    </row>
    <row r="313" spans="2:10" ht="15.75">
      <c r="B313" s="458">
        <v>50129</v>
      </c>
      <c r="C313" s="449">
        <f t="shared" si="24"/>
        <v>0.0589</v>
      </c>
      <c r="D313" s="450">
        <f t="shared" si="25"/>
        <v>0.0085</v>
      </c>
      <c r="E313" s="451">
        <f t="shared" si="23"/>
        <v>0.0674</v>
      </c>
      <c r="F313" s="452"/>
      <c r="G313" s="459"/>
      <c r="H313" s="452">
        <f t="shared" si="27"/>
        <v>0</v>
      </c>
      <c r="I313" s="454">
        <v>1</v>
      </c>
      <c r="J313" s="455">
        <f t="shared" si="26"/>
        <v>0</v>
      </c>
    </row>
    <row r="314" spans="2:10" ht="15.75">
      <c r="B314" s="448">
        <v>50130</v>
      </c>
      <c r="C314" s="449">
        <f t="shared" si="24"/>
        <v>0.0589</v>
      </c>
      <c r="D314" s="450">
        <f t="shared" si="25"/>
        <v>0.0085</v>
      </c>
      <c r="E314" s="451">
        <f t="shared" si="23"/>
        <v>0.0674</v>
      </c>
      <c r="F314" s="452"/>
      <c r="G314" s="459"/>
      <c r="H314" s="452">
        <f t="shared" si="27"/>
        <v>0</v>
      </c>
      <c r="I314" s="454">
        <v>1</v>
      </c>
      <c r="J314" s="455">
        <f t="shared" si="26"/>
        <v>0</v>
      </c>
    </row>
    <row r="315" spans="2:10" ht="15.75">
      <c r="B315" s="448">
        <v>50160</v>
      </c>
      <c r="C315" s="449">
        <f t="shared" si="24"/>
        <v>0.0589</v>
      </c>
      <c r="D315" s="450">
        <f t="shared" si="25"/>
        <v>0.0085</v>
      </c>
      <c r="E315" s="451">
        <f t="shared" si="23"/>
        <v>0.0674</v>
      </c>
      <c r="F315" s="452"/>
      <c r="G315" s="459"/>
      <c r="H315" s="452">
        <f t="shared" si="27"/>
        <v>0</v>
      </c>
      <c r="I315" s="454">
        <v>30</v>
      </c>
      <c r="J315" s="455">
        <f t="shared" si="26"/>
        <v>0</v>
      </c>
    </row>
    <row r="316" spans="2:10" ht="15.75">
      <c r="B316" s="461">
        <v>50191</v>
      </c>
      <c r="C316" s="449">
        <f t="shared" si="24"/>
        <v>0.0589</v>
      </c>
      <c r="D316" s="450">
        <f t="shared" si="25"/>
        <v>0.0085</v>
      </c>
      <c r="E316" s="451">
        <f t="shared" si="23"/>
        <v>0.0674</v>
      </c>
      <c r="F316" s="452"/>
      <c r="G316" s="459"/>
      <c r="H316" s="452">
        <f t="shared" si="27"/>
        <v>0</v>
      </c>
      <c r="I316" s="454">
        <v>31</v>
      </c>
      <c r="J316" s="455">
        <f t="shared" si="26"/>
        <v>0</v>
      </c>
    </row>
    <row r="317" spans="2:10" ht="15.75">
      <c r="B317" s="461">
        <v>50220</v>
      </c>
      <c r="C317" s="449">
        <f t="shared" si="24"/>
        <v>0.0589</v>
      </c>
      <c r="D317" s="450">
        <f t="shared" si="25"/>
        <v>0.0085</v>
      </c>
      <c r="E317" s="451">
        <f t="shared" si="23"/>
        <v>0.0674</v>
      </c>
      <c r="F317" s="511"/>
      <c r="G317" s="512"/>
      <c r="H317" s="452">
        <f t="shared" si="27"/>
        <v>0</v>
      </c>
      <c r="I317" s="508">
        <v>29</v>
      </c>
      <c r="J317" s="455">
        <f t="shared" si="26"/>
        <v>0</v>
      </c>
    </row>
    <row r="318" spans="2:10" ht="15.75">
      <c r="B318" s="458">
        <v>50221</v>
      </c>
      <c r="C318" s="449">
        <f t="shared" si="24"/>
        <v>0.0589</v>
      </c>
      <c r="D318" s="450">
        <f t="shared" si="25"/>
        <v>0.0085</v>
      </c>
      <c r="E318" s="451">
        <f t="shared" si="23"/>
        <v>0.0674</v>
      </c>
      <c r="F318" s="452"/>
      <c r="G318" s="459"/>
      <c r="H318" s="452">
        <f t="shared" si="27"/>
        <v>0</v>
      </c>
      <c r="I318" s="454">
        <v>1</v>
      </c>
      <c r="J318" s="455">
        <f t="shared" si="26"/>
        <v>0</v>
      </c>
    </row>
    <row r="319" spans="2:10" ht="15.75">
      <c r="B319" s="448">
        <v>50252</v>
      </c>
      <c r="C319" s="449">
        <f t="shared" si="24"/>
        <v>0.0589</v>
      </c>
      <c r="D319" s="450">
        <f t="shared" si="25"/>
        <v>0.0085</v>
      </c>
      <c r="E319" s="451">
        <f t="shared" si="23"/>
        <v>0.0674</v>
      </c>
      <c r="F319" s="452"/>
      <c r="G319" s="459"/>
      <c r="H319" s="452">
        <f t="shared" si="27"/>
        <v>0</v>
      </c>
      <c r="I319" s="454">
        <v>31</v>
      </c>
      <c r="J319" s="455">
        <f t="shared" si="26"/>
        <v>0</v>
      </c>
    </row>
    <row r="320" spans="2:10" ht="15.75">
      <c r="B320" s="448">
        <v>50283</v>
      </c>
      <c r="C320" s="449">
        <f t="shared" si="24"/>
        <v>0.0589</v>
      </c>
      <c r="D320" s="450">
        <f t="shared" si="25"/>
        <v>0.0085</v>
      </c>
      <c r="E320" s="451">
        <f t="shared" si="23"/>
        <v>0.0674</v>
      </c>
      <c r="F320" s="452"/>
      <c r="G320" s="459"/>
      <c r="H320" s="452">
        <f t="shared" si="27"/>
        <v>0</v>
      </c>
      <c r="I320" s="508">
        <v>31</v>
      </c>
      <c r="J320" s="455">
        <f t="shared" si="26"/>
        <v>0</v>
      </c>
    </row>
    <row r="321" spans="2:10" ht="15.75">
      <c r="B321" s="448">
        <v>50312</v>
      </c>
      <c r="C321" s="449">
        <f t="shared" si="24"/>
        <v>0.0589</v>
      </c>
      <c r="D321" s="450">
        <f t="shared" si="25"/>
        <v>0.0085</v>
      </c>
      <c r="E321" s="451">
        <f t="shared" si="23"/>
        <v>0.0674</v>
      </c>
      <c r="F321" s="452"/>
      <c r="G321" s="459"/>
      <c r="H321" s="452">
        <f t="shared" si="27"/>
        <v>0</v>
      </c>
      <c r="I321" s="454">
        <v>29</v>
      </c>
      <c r="J321" s="455">
        <f t="shared" si="26"/>
        <v>0</v>
      </c>
    </row>
    <row r="322" spans="2:10" ht="15.75">
      <c r="B322" s="458">
        <v>50313</v>
      </c>
      <c r="C322" s="449">
        <f t="shared" si="24"/>
        <v>0.0589</v>
      </c>
      <c r="D322" s="450">
        <f t="shared" si="25"/>
        <v>0.0085</v>
      </c>
      <c r="E322" s="451">
        <f t="shared" si="23"/>
        <v>0.0674</v>
      </c>
      <c r="F322" s="452"/>
      <c r="G322" s="459"/>
      <c r="H322" s="452">
        <f t="shared" si="27"/>
        <v>0</v>
      </c>
      <c r="I322" s="454">
        <v>1</v>
      </c>
      <c r="J322" s="455">
        <f t="shared" si="26"/>
        <v>0</v>
      </c>
    </row>
    <row r="323" spans="2:10" ht="15.75">
      <c r="B323" s="461">
        <v>50344</v>
      </c>
      <c r="C323" s="449">
        <f t="shared" si="24"/>
        <v>0.0589</v>
      </c>
      <c r="D323" s="450">
        <f t="shared" si="25"/>
        <v>0.0085</v>
      </c>
      <c r="E323" s="451">
        <f t="shared" si="23"/>
        <v>0.0674</v>
      </c>
      <c r="F323" s="452"/>
      <c r="G323" s="459"/>
      <c r="H323" s="452">
        <f t="shared" si="27"/>
        <v>0</v>
      </c>
      <c r="I323" s="508">
        <v>31</v>
      </c>
      <c r="J323" s="455">
        <f t="shared" si="26"/>
        <v>0</v>
      </c>
    </row>
    <row r="324" spans="2:10" ht="15.75">
      <c r="B324" s="461">
        <v>50374</v>
      </c>
      <c r="C324" s="449">
        <f t="shared" si="24"/>
        <v>0.0589</v>
      </c>
      <c r="D324" s="450">
        <f t="shared" si="25"/>
        <v>0.0085</v>
      </c>
      <c r="E324" s="451">
        <f t="shared" si="23"/>
        <v>0.0674</v>
      </c>
      <c r="F324" s="452"/>
      <c r="G324" s="459"/>
      <c r="H324" s="452">
        <f t="shared" si="27"/>
        <v>0</v>
      </c>
      <c r="I324" s="508">
        <v>30</v>
      </c>
      <c r="J324" s="455">
        <f t="shared" si="26"/>
        <v>0</v>
      </c>
    </row>
    <row r="325" spans="2:10" ht="15.75">
      <c r="B325" s="461">
        <v>50403</v>
      </c>
      <c r="C325" s="449">
        <f t="shared" si="24"/>
        <v>0.0589</v>
      </c>
      <c r="D325" s="450">
        <f t="shared" si="25"/>
        <v>0.0085</v>
      </c>
      <c r="E325" s="451">
        <f t="shared" si="23"/>
        <v>0.0674</v>
      </c>
      <c r="F325" s="452"/>
      <c r="G325" s="459"/>
      <c r="H325" s="452">
        <f t="shared" si="27"/>
        <v>0</v>
      </c>
      <c r="I325" s="508">
        <v>29</v>
      </c>
      <c r="J325" s="455">
        <f t="shared" si="26"/>
        <v>0</v>
      </c>
    </row>
    <row r="326" spans="2:10" ht="15.75">
      <c r="B326" s="458">
        <v>50404</v>
      </c>
      <c r="C326" s="449">
        <f t="shared" si="24"/>
        <v>0.0589</v>
      </c>
      <c r="D326" s="450">
        <f t="shared" si="25"/>
        <v>0.0085</v>
      </c>
      <c r="E326" s="451">
        <f t="shared" si="23"/>
        <v>0.0674</v>
      </c>
      <c r="F326" s="452"/>
      <c r="G326" s="459"/>
      <c r="H326" s="452">
        <f t="shared" si="27"/>
        <v>0</v>
      </c>
      <c r="I326" s="508">
        <v>1</v>
      </c>
      <c r="J326" s="455">
        <f t="shared" si="26"/>
        <v>0</v>
      </c>
    </row>
    <row r="327" spans="2:10" ht="15.75">
      <c r="B327" s="469">
        <v>50405</v>
      </c>
      <c r="C327" s="470">
        <f t="shared" si="24"/>
        <v>0.0589</v>
      </c>
      <c r="D327" s="471">
        <f t="shared" si="25"/>
        <v>0.0085</v>
      </c>
      <c r="E327" s="472">
        <f t="shared" si="23"/>
        <v>0.0674</v>
      </c>
      <c r="F327" s="473"/>
      <c r="G327" s="554"/>
      <c r="H327" s="473">
        <f t="shared" si="27"/>
        <v>0</v>
      </c>
      <c r="I327" s="475">
        <v>1</v>
      </c>
      <c r="J327" s="476">
        <f t="shared" si="26"/>
        <v>0</v>
      </c>
    </row>
    <row r="328" spans="2:11" ht="15.75">
      <c r="B328" s="479">
        <v>50436</v>
      </c>
      <c r="C328" s="421">
        <f t="shared" si="24"/>
        <v>0.0589</v>
      </c>
      <c r="D328" s="422">
        <f t="shared" si="25"/>
        <v>0.0085</v>
      </c>
      <c r="E328" s="423">
        <f t="shared" si="23"/>
        <v>0.0674</v>
      </c>
      <c r="F328" s="426"/>
      <c r="G328" s="425"/>
      <c r="H328" s="426">
        <f t="shared" si="27"/>
        <v>0</v>
      </c>
      <c r="I328" s="427">
        <v>31</v>
      </c>
      <c r="J328" s="428">
        <f t="shared" si="26"/>
        <v>0</v>
      </c>
      <c r="K328" s="555">
        <f>SUM(J328:J345)</f>
        <v>0</v>
      </c>
    </row>
    <row r="329" spans="2:10" ht="15.75">
      <c r="B329" s="481">
        <v>50464</v>
      </c>
      <c r="C329" s="482">
        <f t="shared" si="24"/>
        <v>0.0589</v>
      </c>
      <c r="D329" s="483">
        <f t="shared" si="25"/>
        <v>0.0085</v>
      </c>
      <c r="E329" s="484">
        <f t="shared" si="23"/>
        <v>0.0674</v>
      </c>
      <c r="F329" s="485"/>
      <c r="G329" s="489"/>
      <c r="H329" s="485">
        <f t="shared" si="27"/>
        <v>0</v>
      </c>
      <c r="I329" s="487">
        <v>28</v>
      </c>
      <c r="J329" s="488">
        <f t="shared" si="26"/>
        <v>0</v>
      </c>
    </row>
    <row r="330" spans="2:10" ht="15.75">
      <c r="B330" s="481">
        <v>50493</v>
      </c>
      <c r="C330" s="482">
        <f t="shared" si="24"/>
        <v>0.0589</v>
      </c>
      <c r="D330" s="483">
        <f t="shared" si="25"/>
        <v>0.0085</v>
      </c>
      <c r="E330" s="484">
        <f t="shared" si="23"/>
        <v>0.0674</v>
      </c>
      <c r="F330" s="485"/>
      <c r="G330" s="489"/>
      <c r="H330" s="485">
        <f t="shared" si="27"/>
        <v>0</v>
      </c>
      <c r="I330" s="487">
        <v>29</v>
      </c>
      <c r="J330" s="488">
        <f t="shared" si="26"/>
        <v>0</v>
      </c>
    </row>
    <row r="331" spans="2:10" ht="15.75">
      <c r="B331" s="490">
        <v>50494</v>
      </c>
      <c r="C331" s="482">
        <f t="shared" si="24"/>
        <v>0.0589</v>
      </c>
      <c r="D331" s="483">
        <f t="shared" si="25"/>
        <v>0.0085</v>
      </c>
      <c r="E331" s="484">
        <f t="shared" si="23"/>
        <v>0.0674</v>
      </c>
      <c r="F331" s="485"/>
      <c r="G331" s="489"/>
      <c r="H331" s="485">
        <f t="shared" si="27"/>
        <v>0</v>
      </c>
      <c r="I331" s="487">
        <v>1</v>
      </c>
      <c r="J331" s="488">
        <f t="shared" si="26"/>
        <v>0</v>
      </c>
    </row>
    <row r="332" spans="2:10" ht="15.75">
      <c r="B332" s="481">
        <v>50495</v>
      </c>
      <c r="C332" s="482">
        <f t="shared" si="24"/>
        <v>0.0589</v>
      </c>
      <c r="D332" s="483">
        <f t="shared" si="25"/>
        <v>0.0085</v>
      </c>
      <c r="E332" s="484">
        <f t="shared" si="23"/>
        <v>0.0674</v>
      </c>
      <c r="F332" s="485"/>
      <c r="G332" s="489"/>
      <c r="H332" s="485">
        <f t="shared" si="27"/>
        <v>0</v>
      </c>
      <c r="I332" s="487">
        <v>1</v>
      </c>
      <c r="J332" s="488">
        <f t="shared" si="26"/>
        <v>0</v>
      </c>
    </row>
    <row r="333" spans="2:10" ht="15.75">
      <c r="B333" s="481">
        <v>50525</v>
      </c>
      <c r="C333" s="482">
        <f t="shared" si="24"/>
        <v>0.0589</v>
      </c>
      <c r="D333" s="483">
        <f t="shared" si="25"/>
        <v>0.0085</v>
      </c>
      <c r="E333" s="484">
        <f t="shared" si="23"/>
        <v>0.0674</v>
      </c>
      <c r="F333" s="485"/>
      <c r="G333" s="489"/>
      <c r="H333" s="485">
        <f t="shared" si="27"/>
        <v>0</v>
      </c>
      <c r="I333" s="487">
        <v>30</v>
      </c>
      <c r="J333" s="488">
        <f t="shared" si="26"/>
        <v>0</v>
      </c>
    </row>
    <row r="334" spans="2:10" ht="15.75">
      <c r="B334" s="491">
        <v>50556</v>
      </c>
      <c r="C334" s="482">
        <f t="shared" si="24"/>
        <v>0.0589</v>
      </c>
      <c r="D334" s="483">
        <f t="shared" si="25"/>
        <v>0.0085</v>
      </c>
      <c r="E334" s="484">
        <f t="shared" si="23"/>
        <v>0.0674</v>
      </c>
      <c r="F334" s="485"/>
      <c r="G334" s="489"/>
      <c r="H334" s="485">
        <f t="shared" si="27"/>
        <v>0</v>
      </c>
      <c r="I334" s="487">
        <v>31</v>
      </c>
      <c r="J334" s="488">
        <f t="shared" si="26"/>
        <v>0</v>
      </c>
    </row>
    <row r="335" spans="2:10" ht="15.75">
      <c r="B335" s="491">
        <v>50585</v>
      </c>
      <c r="C335" s="482">
        <f t="shared" si="24"/>
        <v>0.0589</v>
      </c>
      <c r="D335" s="483">
        <f t="shared" si="25"/>
        <v>0.0085</v>
      </c>
      <c r="E335" s="484">
        <f t="shared" si="23"/>
        <v>0.0674</v>
      </c>
      <c r="F335" s="498"/>
      <c r="G335" s="531"/>
      <c r="H335" s="485">
        <f t="shared" si="27"/>
        <v>0</v>
      </c>
      <c r="I335" s="493">
        <v>29</v>
      </c>
      <c r="J335" s="488">
        <f t="shared" si="26"/>
        <v>0</v>
      </c>
    </row>
    <row r="336" spans="2:10" ht="15.75">
      <c r="B336" s="490">
        <v>50586</v>
      </c>
      <c r="C336" s="482">
        <f t="shared" si="24"/>
        <v>0.0589</v>
      </c>
      <c r="D336" s="483">
        <f t="shared" si="25"/>
        <v>0.0085</v>
      </c>
      <c r="E336" s="484">
        <f t="shared" si="23"/>
        <v>0.0674</v>
      </c>
      <c r="F336" s="485"/>
      <c r="G336" s="489"/>
      <c r="H336" s="485">
        <f t="shared" si="27"/>
        <v>0</v>
      </c>
      <c r="I336" s="487">
        <v>1</v>
      </c>
      <c r="J336" s="488">
        <f t="shared" si="26"/>
        <v>0</v>
      </c>
    </row>
    <row r="337" spans="2:10" ht="15.75">
      <c r="B337" s="481">
        <v>50617</v>
      </c>
      <c r="C337" s="482">
        <f t="shared" si="24"/>
        <v>0.0589</v>
      </c>
      <c r="D337" s="483">
        <f t="shared" si="25"/>
        <v>0.0085</v>
      </c>
      <c r="E337" s="484">
        <f t="shared" si="23"/>
        <v>0.0674</v>
      </c>
      <c r="F337" s="485"/>
      <c r="G337" s="489"/>
      <c r="H337" s="485">
        <f t="shared" si="27"/>
        <v>0</v>
      </c>
      <c r="I337" s="487">
        <v>31</v>
      </c>
      <c r="J337" s="488">
        <f t="shared" si="26"/>
        <v>0</v>
      </c>
    </row>
    <row r="338" spans="2:10" ht="15.75">
      <c r="B338" s="481">
        <v>50648</v>
      </c>
      <c r="C338" s="482">
        <f t="shared" si="24"/>
        <v>0.0589</v>
      </c>
      <c r="D338" s="483">
        <f t="shared" si="25"/>
        <v>0.0085</v>
      </c>
      <c r="E338" s="484">
        <f t="shared" si="23"/>
        <v>0.0674</v>
      </c>
      <c r="F338" s="485"/>
      <c r="G338" s="489"/>
      <c r="H338" s="485">
        <f t="shared" si="27"/>
        <v>0</v>
      </c>
      <c r="I338" s="493">
        <v>31</v>
      </c>
      <c r="J338" s="488">
        <f t="shared" si="26"/>
        <v>0</v>
      </c>
    </row>
    <row r="339" spans="2:10" ht="15.75">
      <c r="B339" s="481">
        <v>50677</v>
      </c>
      <c r="C339" s="482">
        <f t="shared" si="24"/>
        <v>0.0589</v>
      </c>
      <c r="D339" s="483">
        <f t="shared" si="25"/>
        <v>0.0085</v>
      </c>
      <c r="E339" s="484">
        <f t="shared" si="23"/>
        <v>0.0674</v>
      </c>
      <c r="F339" s="485"/>
      <c r="G339" s="489"/>
      <c r="H339" s="485">
        <f t="shared" si="27"/>
        <v>0</v>
      </c>
      <c r="I339" s="487">
        <v>29</v>
      </c>
      <c r="J339" s="488">
        <f t="shared" si="26"/>
        <v>0</v>
      </c>
    </row>
    <row r="340" spans="2:10" ht="15.75">
      <c r="B340" s="490">
        <v>50678</v>
      </c>
      <c r="C340" s="482">
        <f t="shared" si="24"/>
        <v>0.0589</v>
      </c>
      <c r="D340" s="483">
        <f t="shared" si="25"/>
        <v>0.0085</v>
      </c>
      <c r="E340" s="484">
        <f aca="true" t="shared" si="28" ref="E340:E403">C340+D340</f>
        <v>0.0674</v>
      </c>
      <c r="F340" s="485"/>
      <c r="G340" s="489"/>
      <c r="H340" s="485">
        <f t="shared" si="27"/>
        <v>0</v>
      </c>
      <c r="I340" s="487">
        <v>1</v>
      </c>
      <c r="J340" s="488">
        <f t="shared" si="26"/>
        <v>0</v>
      </c>
    </row>
    <row r="341" spans="2:10" ht="15.75">
      <c r="B341" s="491">
        <v>50709</v>
      </c>
      <c r="C341" s="482">
        <f aca="true" t="shared" si="29" ref="C341:C404">C340</f>
        <v>0.0589</v>
      </c>
      <c r="D341" s="483">
        <f aca="true" t="shared" si="30" ref="D341:D404">D340</f>
        <v>0.0085</v>
      </c>
      <c r="E341" s="484">
        <f t="shared" si="28"/>
        <v>0.0674</v>
      </c>
      <c r="F341" s="485"/>
      <c r="G341" s="489"/>
      <c r="H341" s="485">
        <f t="shared" si="27"/>
        <v>0</v>
      </c>
      <c r="I341" s="493">
        <v>31</v>
      </c>
      <c r="J341" s="488">
        <f t="shared" si="26"/>
        <v>0</v>
      </c>
    </row>
    <row r="342" spans="2:10" ht="15.75">
      <c r="B342" s="491">
        <v>50739</v>
      </c>
      <c r="C342" s="482">
        <f t="shared" si="29"/>
        <v>0.0589</v>
      </c>
      <c r="D342" s="483">
        <f t="shared" si="30"/>
        <v>0.0085</v>
      </c>
      <c r="E342" s="484">
        <f t="shared" si="28"/>
        <v>0.0674</v>
      </c>
      <c r="F342" s="485"/>
      <c r="G342" s="489"/>
      <c r="H342" s="485">
        <f t="shared" si="27"/>
        <v>0</v>
      </c>
      <c r="I342" s="493">
        <v>30</v>
      </c>
      <c r="J342" s="488">
        <f t="shared" si="26"/>
        <v>0</v>
      </c>
    </row>
    <row r="343" spans="2:10" ht="15.75">
      <c r="B343" s="491">
        <v>50768</v>
      </c>
      <c r="C343" s="482">
        <f t="shared" si="29"/>
        <v>0.0589</v>
      </c>
      <c r="D343" s="483">
        <f t="shared" si="30"/>
        <v>0.0085</v>
      </c>
      <c r="E343" s="484">
        <f t="shared" si="28"/>
        <v>0.0674</v>
      </c>
      <c r="F343" s="485"/>
      <c r="G343" s="489"/>
      <c r="H343" s="485">
        <f t="shared" si="27"/>
        <v>0</v>
      </c>
      <c r="I343" s="493">
        <v>29</v>
      </c>
      <c r="J343" s="488">
        <f t="shared" si="26"/>
        <v>0</v>
      </c>
    </row>
    <row r="344" spans="2:10" ht="15.75">
      <c r="B344" s="490">
        <v>50769</v>
      </c>
      <c r="C344" s="482">
        <f t="shared" si="29"/>
        <v>0.0589</v>
      </c>
      <c r="D344" s="483">
        <f t="shared" si="30"/>
        <v>0.0085</v>
      </c>
      <c r="E344" s="484">
        <f t="shared" si="28"/>
        <v>0.0674</v>
      </c>
      <c r="F344" s="485"/>
      <c r="G344" s="489"/>
      <c r="H344" s="485">
        <f t="shared" si="27"/>
        <v>0</v>
      </c>
      <c r="I344" s="493">
        <v>1</v>
      </c>
      <c r="J344" s="488">
        <f t="shared" si="26"/>
        <v>0</v>
      </c>
    </row>
    <row r="345" spans="2:10" ht="15.75">
      <c r="B345" s="430">
        <v>50770</v>
      </c>
      <c r="C345" s="431">
        <f t="shared" si="29"/>
        <v>0.0589</v>
      </c>
      <c r="D345" s="432">
        <f t="shared" si="30"/>
        <v>0.0085</v>
      </c>
      <c r="E345" s="433">
        <f t="shared" si="28"/>
        <v>0.0674</v>
      </c>
      <c r="F345" s="434"/>
      <c r="G345" s="534"/>
      <c r="H345" s="434">
        <f t="shared" si="27"/>
        <v>0</v>
      </c>
      <c r="I345" s="436">
        <v>1</v>
      </c>
      <c r="J345" s="437">
        <f t="shared" si="26"/>
        <v>0</v>
      </c>
    </row>
    <row r="346" spans="2:11" ht="15.75">
      <c r="B346" s="440">
        <v>50801</v>
      </c>
      <c r="C346" s="441">
        <f t="shared" si="29"/>
        <v>0.0589</v>
      </c>
      <c r="D346" s="442">
        <f t="shared" si="30"/>
        <v>0.0085</v>
      </c>
      <c r="E346" s="443">
        <f t="shared" si="28"/>
        <v>0.0674</v>
      </c>
      <c r="F346" s="444"/>
      <c r="G346" s="506"/>
      <c r="H346" s="444">
        <f t="shared" si="27"/>
        <v>0</v>
      </c>
      <c r="I346" s="446">
        <v>31</v>
      </c>
      <c r="J346" s="447">
        <f t="shared" si="26"/>
        <v>0</v>
      </c>
      <c r="K346" s="555">
        <f>SUM(J346:J363)</f>
        <v>0</v>
      </c>
    </row>
    <row r="347" spans="2:10" ht="15.75">
      <c r="B347" s="448">
        <v>50829</v>
      </c>
      <c r="C347" s="449">
        <f t="shared" si="29"/>
        <v>0.0589</v>
      </c>
      <c r="D347" s="450">
        <f t="shared" si="30"/>
        <v>0.0085</v>
      </c>
      <c r="E347" s="451">
        <f t="shared" si="28"/>
        <v>0.0674</v>
      </c>
      <c r="F347" s="452"/>
      <c r="G347" s="459"/>
      <c r="H347" s="452">
        <f t="shared" si="27"/>
        <v>0</v>
      </c>
      <c r="I347" s="454">
        <v>28</v>
      </c>
      <c r="J347" s="455">
        <f t="shared" si="26"/>
        <v>0</v>
      </c>
    </row>
    <row r="348" spans="2:10" ht="15.75">
      <c r="B348" s="448">
        <v>50858</v>
      </c>
      <c r="C348" s="449">
        <f t="shared" si="29"/>
        <v>0.0589</v>
      </c>
      <c r="D348" s="450">
        <f t="shared" si="30"/>
        <v>0.0085</v>
      </c>
      <c r="E348" s="451">
        <f t="shared" si="28"/>
        <v>0.0674</v>
      </c>
      <c r="F348" s="452"/>
      <c r="G348" s="459"/>
      <c r="H348" s="452">
        <f t="shared" si="27"/>
        <v>0</v>
      </c>
      <c r="I348" s="454">
        <v>29</v>
      </c>
      <c r="J348" s="455">
        <f t="shared" si="26"/>
        <v>0</v>
      </c>
    </row>
    <row r="349" spans="2:10" ht="15.75">
      <c r="B349" s="458">
        <v>50859</v>
      </c>
      <c r="C349" s="449">
        <f t="shared" si="29"/>
        <v>0.0589</v>
      </c>
      <c r="D349" s="450">
        <f t="shared" si="30"/>
        <v>0.0085</v>
      </c>
      <c r="E349" s="451">
        <f t="shared" si="28"/>
        <v>0.0674</v>
      </c>
      <c r="F349" s="452"/>
      <c r="G349" s="459"/>
      <c r="H349" s="452">
        <f t="shared" si="27"/>
        <v>0</v>
      </c>
      <c r="I349" s="454">
        <v>1</v>
      </c>
      <c r="J349" s="455">
        <f t="shared" si="26"/>
        <v>0</v>
      </c>
    </row>
    <row r="350" spans="2:10" ht="15.75">
      <c r="B350" s="448">
        <v>50860</v>
      </c>
      <c r="C350" s="449">
        <f t="shared" si="29"/>
        <v>0.0589</v>
      </c>
      <c r="D350" s="450">
        <f t="shared" si="30"/>
        <v>0.0085</v>
      </c>
      <c r="E350" s="451">
        <f t="shared" si="28"/>
        <v>0.0674</v>
      </c>
      <c r="F350" s="452"/>
      <c r="G350" s="459"/>
      <c r="H350" s="452">
        <f t="shared" si="27"/>
        <v>0</v>
      </c>
      <c r="I350" s="454">
        <v>1</v>
      </c>
      <c r="J350" s="455">
        <f aca="true" t="shared" si="31" ref="J350:J413">H350*E350*I350/365</f>
        <v>0</v>
      </c>
    </row>
    <row r="351" spans="2:10" ht="15.75">
      <c r="B351" s="448">
        <v>50890</v>
      </c>
      <c r="C351" s="449">
        <f t="shared" si="29"/>
        <v>0.0589</v>
      </c>
      <c r="D351" s="450">
        <f t="shared" si="30"/>
        <v>0.0085</v>
      </c>
      <c r="E351" s="451">
        <f t="shared" si="28"/>
        <v>0.0674</v>
      </c>
      <c r="F351" s="452"/>
      <c r="G351" s="459"/>
      <c r="H351" s="452">
        <f t="shared" si="27"/>
        <v>0</v>
      </c>
      <c r="I351" s="454">
        <v>30</v>
      </c>
      <c r="J351" s="455">
        <f t="shared" si="31"/>
        <v>0</v>
      </c>
    </row>
    <row r="352" spans="2:10" ht="15.75">
      <c r="B352" s="461">
        <v>50921</v>
      </c>
      <c r="C352" s="449">
        <f t="shared" si="29"/>
        <v>0.0589</v>
      </c>
      <c r="D352" s="450">
        <f t="shared" si="30"/>
        <v>0.0085</v>
      </c>
      <c r="E352" s="451">
        <f t="shared" si="28"/>
        <v>0.0674</v>
      </c>
      <c r="F352" s="452"/>
      <c r="G352" s="459"/>
      <c r="H352" s="452">
        <f t="shared" si="27"/>
        <v>0</v>
      </c>
      <c r="I352" s="454">
        <v>31</v>
      </c>
      <c r="J352" s="455">
        <f t="shared" si="31"/>
        <v>0</v>
      </c>
    </row>
    <row r="353" spans="2:10" ht="15.75">
      <c r="B353" s="461">
        <v>50950</v>
      </c>
      <c r="C353" s="449">
        <f t="shared" si="29"/>
        <v>0.0589</v>
      </c>
      <c r="D353" s="450">
        <f t="shared" si="30"/>
        <v>0.0085</v>
      </c>
      <c r="E353" s="451">
        <f t="shared" si="28"/>
        <v>0.0674</v>
      </c>
      <c r="F353" s="511"/>
      <c r="G353" s="512"/>
      <c r="H353" s="452">
        <f t="shared" si="27"/>
        <v>0</v>
      </c>
      <c r="I353" s="508">
        <v>29</v>
      </c>
      <c r="J353" s="455">
        <f t="shared" si="31"/>
        <v>0</v>
      </c>
    </row>
    <row r="354" spans="2:10" ht="15.75">
      <c r="B354" s="458">
        <v>50951</v>
      </c>
      <c r="C354" s="449">
        <f t="shared" si="29"/>
        <v>0.0589</v>
      </c>
      <c r="D354" s="450">
        <f t="shared" si="30"/>
        <v>0.0085</v>
      </c>
      <c r="E354" s="451">
        <f t="shared" si="28"/>
        <v>0.0674</v>
      </c>
      <c r="F354" s="452"/>
      <c r="G354" s="459"/>
      <c r="H354" s="452">
        <f t="shared" si="27"/>
        <v>0</v>
      </c>
      <c r="I354" s="454">
        <v>1</v>
      </c>
      <c r="J354" s="455">
        <f t="shared" si="31"/>
        <v>0</v>
      </c>
    </row>
    <row r="355" spans="2:10" ht="15.75">
      <c r="B355" s="448">
        <v>50982</v>
      </c>
      <c r="C355" s="449">
        <f t="shared" si="29"/>
        <v>0.0589</v>
      </c>
      <c r="D355" s="450">
        <f t="shared" si="30"/>
        <v>0.0085</v>
      </c>
      <c r="E355" s="451">
        <f t="shared" si="28"/>
        <v>0.0674</v>
      </c>
      <c r="F355" s="452"/>
      <c r="G355" s="459"/>
      <c r="H355" s="452">
        <f t="shared" si="27"/>
        <v>0</v>
      </c>
      <c r="I355" s="454">
        <v>31</v>
      </c>
      <c r="J355" s="455">
        <f t="shared" si="31"/>
        <v>0</v>
      </c>
    </row>
    <row r="356" spans="2:10" ht="15.75">
      <c r="B356" s="448">
        <v>51013</v>
      </c>
      <c r="C356" s="449">
        <f t="shared" si="29"/>
        <v>0.0589</v>
      </c>
      <c r="D356" s="450">
        <f t="shared" si="30"/>
        <v>0.0085</v>
      </c>
      <c r="E356" s="451">
        <f t="shared" si="28"/>
        <v>0.0674</v>
      </c>
      <c r="F356" s="452"/>
      <c r="G356" s="459"/>
      <c r="H356" s="452">
        <f t="shared" si="27"/>
        <v>0</v>
      </c>
      <c r="I356" s="508">
        <v>31</v>
      </c>
      <c r="J356" s="455">
        <f t="shared" si="31"/>
        <v>0</v>
      </c>
    </row>
    <row r="357" spans="2:10" ht="15.75">
      <c r="B357" s="448">
        <v>51042</v>
      </c>
      <c r="C357" s="449">
        <f t="shared" si="29"/>
        <v>0.0589</v>
      </c>
      <c r="D357" s="450">
        <f t="shared" si="30"/>
        <v>0.0085</v>
      </c>
      <c r="E357" s="451">
        <f t="shared" si="28"/>
        <v>0.0674</v>
      </c>
      <c r="F357" s="452"/>
      <c r="G357" s="459"/>
      <c r="H357" s="452">
        <f t="shared" si="27"/>
        <v>0</v>
      </c>
      <c r="I357" s="454">
        <v>29</v>
      </c>
      <c r="J357" s="455">
        <f t="shared" si="31"/>
        <v>0</v>
      </c>
    </row>
    <row r="358" spans="2:10" ht="15.75">
      <c r="B358" s="458">
        <v>51043</v>
      </c>
      <c r="C358" s="449">
        <f t="shared" si="29"/>
        <v>0.0589</v>
      </c>
      <c r="D358" s="450">
        <f t="shared" si="30"/>
        <v>0.0085</v>
      </c>
      <c r="E358" s="451">
        <f t="shared" si="28"/>
        <v>0.0674</v>
      </c>
      <c r="F358" s="452"/>
      <c r="G358" s="459"/>
      <c r="H358" s="452">
        <f t="shared" si="27"/>
        <v>0</v>
      </c>
      <c r="I358" s="454">
        <v>1</v>
      </c>
      <c r="J358" s="455">
        <f t="shared" si="31"/>
        <v>0</v>
      </c>
    </row>
    <row r="359" spans="2:10" ht="15.75">
      <c r="B359" s="461">
        <v>51074</v>
      </c>
      <c r="C359" s="449">
        <f t="shared" si="29"/>
        <v>0.0589</v>
      </c>
      <c r="D359" s="450">
        <f t="shared" si="30"/>
        <v>0.0085</v>
      </c>
      <c r="E359" s="451">
        <f t="shared" si="28"/>
        <v>0.0674</v>
      </c>
      <c r="F359" s="452"/>
      <c r="G359" s="459"/>
      <c r="H359" s="452">
        <f t="shared" si="27"/>
        <v>0</v>
      </c>
      <c r="I359" s="508">
        <v>31</v>
      </c>
      <c r="J359" s="455">
        <f t="shared" si="31"/>
        <v>0</v>
      </c>
    </row>
    <row r="360" spans="2:10" ht="15.75">
      <c r="B360" s="461">
        <v>51104</v>
      </c>
      <c r="C360" s="449">
        <f t="shared" si="29"/>
        <v>0.0589</v>
      </c>
      <c r="D360" s="450">
        <f t="shared" si="30"/>
        <v>0.0085</v>
      </c>
      <c r="E360" s="451">
        <f t="shared" si="28"/>
        <v>0.0674</v>
      </c>
      <c r="F360" s="452"/>
      <c r="G360" s="459"/>
      <c r="H360" s="452">
        <f t="shared" si="27"/>
        <v>0</v>
      </c>
      <c r="I360" s="508">
        <v>30</v>
      </c>
      <c r="J360" s="455">
        <f t="shared" si="31"/>
        <v>0</v>
      </c>
    </row>
    <row r="361" spans="2:10" ht="15.75">
      <c r="B361" s="461">
        <v>51133</v>
      </c>
      <c r="C361" s="449">
        <f t="shared" si="29"/>
        <v>0.0589</v>
      </c>
      <c r="D361" s="450">
        <f t="shared" si="30"/>
        <v>0.0085</v>
      </c>
      <c r="E361" s="451">
        <f t="shared" si="28"/>
        <v>0.0674</v>
      </c>
      <c r="F361" s="452"/>
      <c r="G361" s="459"/>
      <c r="H361" s="452">
        <f t="shared" si="27"/>
        <v>0</v>
      </c>
      <c r="I361" s="508">
        <v>29</v>
      </c>
      <c r="J361" s="455">
        <f t="shared" si="31"/>
        <v>0</v>
      </c>
    </row>
    <row r="362" spans="2:10" ht="15.75">
      <c r="B362" s="458">
        <v>51134</v>
      </c>
      <c r="C362" s="449">
        <f t="shared" si="29"/>
        <v>0.0589</v>
      </c>
      <c r="D362" s="450">
        <f t="shared" si="30"/>
        <v>0.0085</v>
      </c>
      <c r="E362" s="451">
        <f t="shared" si="28"/>
        <v>0.0674</v>
      </c>
      <c r="F362" s="452"/>
      <c r="G362" s="459"/>
      <c r="H362" s="452">
        <f t="shared" si="27"/>
        <v>0</v>
      </c>
      <c r="I362" s="508">
        <v>1</v>
      </c>
      <c r="J362" s="455">
        <f t="shared" si="31"/>
        <v>0</v>
      </c>
    </row>
    <row r="363" spans="2:10" ht="15.75">
      <c r="B363" s="469">
        <v>51135</v>
      </c>
      <c r="C363" s="470">
        <f t="shared" si="29"/>
        <v>0.0589</v>
      </c>
      <c r="D363" s="471">
        <f t="shared" si="30"/>
        <v>0.0085</v>
      </c>
      <c r="E363" s="472">
        <f t="shared" si="28"/>
        <v>0.0674</v>
      </c>
      <c r="F363" s="473"/>
      <c r="G363" s="554"/>
      <c r="H363" s="473">
        <f t="shared" si="27"/>
        <v>0</v>
      </c>
      <c r="I363" s="475">
        <v>1</v>
      </c>
      <c r="J363" s="476">
        <f t="shared" si="31"/>
        <v>0</v>
      </c>
    </row>
    <row r="364" spans="2:11" ht="15.75">
      <c r="B364" s="479">
        <v>51166</v>
      </c>
      <c r="C364" s="421">
        <f t="shared" si="29"/>
        <v>0.0589</v>
      </c>
      <c r="D364" s="422">
        <f t="shared" si="30"/>
        <v>0.0085</v>
      </c>
      <c r="E364" s="423">
        <f t="shared" si="28"/>
        <v>0.0674</v>
      </c>
      <c r="F364" s="426"/>
      <c r="G364" s="425"/>
      <c r="H364" s="426">
        <f t="shared" si="27"/>
        <v>0</v>
      </c>
      <c r="I364" s="427">
        <v>31</v>
      </c>
      <c r="J364" s="428">
        <f t="shared" si="31"/>
        <v>0</v>
      </c>
      <c r="K364" s="555">
        <f>SUM(J364:J381)</f>
        <v>0</v>
      </c>
    </row>
    <row r="365" spans="2:10" ht="15.75">
      <c r="B365" s="481">
        <v>51195</v>
      </c>
      <c r="C365" s="482">
        <f t="shared" si="29"/>
        <v>0.0589</v>
      </c>
      <c r="D365" s="483">
        <f t="shared" si="30"/>
        <v>0.0085</v>
      </c>
      <c r="E365" s="484">
        <f t="shared" si="28"/>
        <v>0.0674</v>
      </c>
      <c r="F365" s="485"/>
      <c r="G365" s="489"/>
      <c r="H365" s="485">
        <f t="shared" si="27"/>
        <v>0</v>
      </c>
      <c r="I365" s="487">
        <v>29</v>
      </c>
      <c r="J365" s="488">
        <f t="shared" si="31"/>
        <v>0</v>
      </c>
    </row>
    <row r="366" spans="2:10" ht="15.75">
      <c r="B366" s="481">
        <v>51224</v>
      </c>
      <c r="C366" s="482">
        <f t="shared" si="29"/>
        <v>0.0589</v>
      </c>
      <c r="D366" s="483">
        <f t="shared" si="30"/>
        <v>0.0085</v>
      </c>
      <c r="E366" s="484">
        <f t="shared" si="28"/>
        <v>0.0674</v>
      </c>
      <c r="F366" s="485"/>
      <c r="G366" s="489"/>
      <c r="H366" s="485">
        <f t="shared" si="27"/>
        <v>0</v>
      </c>
      <c r="I366" s="487">
        <v>29</v>
      </c>
      <c r="J366" s="488">
        <f t="shared" si="31"/>
        <v>0</v>
      </c>
    </row>
    <row r="367" spans="2:10" ht="15.75">
      <c r="B367" s="490">
        <v>51225</v>
      </c>
      <c r="C367" s="482">
        <f t="shared" si="29"/>
        <v>0.0589</v>
      </c>
      <c r="D367" s="483">
        <f t="shared" si="30"/>
        <v>0.0085</v>
      </c>
      <c r="E367" s="484">
        <f t="shared" si="28"/>
        <v>0.0674</v>
      </c>
      <c r="F367" s="485"/>
      <c r="G367" s="489"/>
      <c r="H367" s="485">
        <f t="shared" si="27"/>
        <v>0</v>
      </c>
      <c r="I367" s="487">
        <v>1</v>
      </c>
      <c r="J367" s="488">
        <f t="shared" si="31"/>
        <v>0</v>
      </c>
    </row>
    <row r="368" spans="2:10" ht="15.75">
      <c r="B368" s="481">
        <v>51226</v>
      </c>
      <c r="C368" s="482">
        <f t="shared" si="29"/>
        <v>0.0589</v>
      </c>
      <c r="D368" s="483">
        <f t="shared" si="30"/>
        <v>0.0085</v>
      </c>
      <c r="E368" s="484">
        <f t="shared" si="28"/>
        <v>0.0674</v>
      </c>
      <c r="F368" s="485"/>
      <c r="G368" s="489"/>
      <c r="H368" s="485">
        <f aca="true" t="shared" si="32" ref="H368:H417">H367-G368</f>
        <v>0</v>
      </c>
      <c r="I368" s="487">
        <v>1</v>
      </c>
      <c r="J368" s="488">
        <f t="shared" si="31"/>
        <v>0</v>
      </c>
    </row>
    <row r="369" spans="2:10" ht="15.75">
      <c r="B369" s="481">
        <v>51256</v>
      </c>
      <c r="C369" s="482">
        <f t="shared" si="29"/>
        <v>0.0589</v>
      </c>
      <c r="D369" s="483">
        <f t="shared" si="30"/>
        <v>0.0085</v>
      </c>
      <c r="E369" s="484">
        <f t="shared" si="28"/>
        <v>0.0674</v>
      </c>
      <c r="F369" s="485"/>
      <c r="G369" s="489"/>
      <c r="H369" s="485">
        <f t="shared" si="32"/>
        <v>0</v>
      </c>
      <c r="I369" s="487">
        <v>30</v>
      </c>
      <c r="J369" s="488">
        <f t="shared" si="31"/>
        <v>0</v>
      </c>
    </row>
    <row r="370" spans="2:10" ht="15.75">
      <c r="B370" s="491">
        <v>51287</v>
      </c>
      <c r="C370" s="482">
        <f t="shared" si="29"/>
        <v>0.0589</v>
      </c>
      <c r="D370" s="483">
        <f t="shared" si="30"/>
        <v>0.0085</v>
      </c>
      <c r="E370" s="484">
        <f t="shared" si="28"/>
        <v>0.0674</v>
      </c>
      <c r="F370" s="485"/>
      <c r="G370" s="489"/>
      <c r="H370" s="485">
        <f t="shared" si="32"/>
        <v>0</v>
      </c>
      <c r="I370" s="487">
        <v>31</v>
      </c>
      <c r="J370" s="488">
        <f t="shared" si="31"/>
        <v>0</v>
      </c>
    </row>
    <row r="371" spans="2:10" ht="15.75">
      <c r="B371" s="491">
        <v>51316</v>
      </c>
      <c r="C371" s="482">
        <f t="shared" si="29"/>
        <v>0.0589</v>
      </c>
      <c r="D371" s="483">
        <f t="shared" si="30"/>
        <v>0.0085</v>
      </c>
      <c r="E371" s="484">
        <f t="shared" si="28"/>
        <v>0.0674</v>
      </c>
      <c r="F371" s="498"/>
      <c r="G371" s="531"/>
      <c r="H371" s="485">
        <f t="shared" si="32"/>
        <v>0</v>
      </c>
      <c r="I371" s="493">
        <v>29</v>
      </c>
      <c r="J371" s="488">
        <f t="shared" si="31"/>
        <v>0</v>
      </c>
    </row>
    <row r="372" spans="2:10" ht="15.75">
      <c r="B372" s="490">
        <v>51317</v>
      </c>
      <c r="C372" s="482">
        <f t="shared" si="29"/>
        <v>0.0589</v>
      </c>
      <c r="D372" s="483">
        <f t="shared" si="30"/>
        <v>0.0085</v>
      </c>
      <c r="E372" s="484">
        <f t="shared" si="28"/>
        <v>0.0674</v>
      </c>
      <c r="F372" s="485"/>
      <c r="G372" s="489"/>
      <c r="H372" s="485">
        <f t="shared" si="32"/>
        <v>0</v>
      </c>
      <c r="I372" s="487">
        <v>1</v>
      </c>
      <c r="J372" s="488">
        <f t="shared" si="31"/>
        <v>0</v>
      </c>
    </row>
    <row r="373" spans="2:10" ht="15.75">
      <c r="B373" s="481">
        <v>51348</v>
      </c>
      <c r="C373" s="482">
        <f t="shared" si="29"/>
        <v>0.0589</v>
      </c>
      <c r="D373" s="483">
        <f t="shared" si="30"/>
        <v>0.0085</v>
      </c>
      <c r="E373" s="484">
        <f t="shared" si="28"/>
        <v>0.0674</v>
      </c>
      <c r="F373" s="485"/>
      <c r="G373" s="489"/>
      <c r="H373" s="485">
        <f t="shared" si="32"/>
        <v>0</v>
      </c>
      <c r="I373" s="487">
        <v>31</v>
      </c>
      <c r="J373" s="488">
        <f t="shared" si="31"/>
        <v>0</v>
      </c>
    </row>
    <row r="374" spans="2:10" ht="15.75">
      <c r="B374" s="481">
        <v>51379</v>
      </c>
      <c r="C374" s="482">
        <f t="shared" si="29"/>
        <v>0.0589</v>
      </c>
      <c r="D374" s="483">
        <f t="shared" si="30"/>
        <v>0.0085</v>
      </c>
      <c r="E374" s="484">
        <f t="shared" si="28"/>
        <v>0.0674</v>
      </c>
      <c r="F374" s="485"/>
      <c r="G374" s="489"/>
      <c r="H374" s="485">
        <f t="shared" si="32"/>
        <v>0</v>
      </c>
      <c r="I374" s="493">
        <v>31</v>
      </c>
      <c r="J374" s="488">
        <f t="shared" si="31"/>
        <v>0</v>
      </c>
    </row>
    <row r="375" spans="2:10" ht="15.75">
      <c r="B375" s="481">
        <v>51408</v>
      </c>
      <c r="C375" s="482">
        <f t="shared" si="29"/>
        <v>0.0589</v>
      </c>
      <c r="D375" s="483">
        <f t="shared" si="30"/>
        <v>0.0085</v>
      </c>
      <c r="E375" s="484">
        <f t="shared" si="28"/>
        <v>0.0674</v>
      </c>
      <c r="F375" s="485"/>
      <c r="G375" s="489"/>
      <c r="H375" s="485">
        <f t="shared" si="32"/>
        <v>0</v>
      </c>
      <c r="I375" s="487">
        <v>29</v>
      </c>
      <c r="J375" s="488">
        <f t="shared" si="31"/>
        <v>0</v>
      </c>
    </row>
    <row r="376" spans="2:10" ht="15.75">
      <c r="B376" s="490">
        <v>51409</v>
      </c>
      <c r="C376" s="482">
        <f t="shared" si="29"/>
        <v>0.0589</v>
      </c>
      <c r="D376" s="483">
        <f t="shared" si="30"/>
        <v>0.0085</v>
      </c>
      <c r="E376" s="484">
        <f t="shared" si="28"/>
        <v>0.0674</v>
      </c>
      <c r="F376" s="485"/>
      <c r="G376" s="489"/>
      <c r="H376" s="485">
        <f t="shared" si="32"/>
        <v>0</v>
      </c>
      <c r="I376" s="487">
        <v>1</v>
      </c>
      <c r="J376" s="488">
        <f t="shared" si="31"/>
        <v>0</v>
      </c>
    </row>
    <row r="377" spans="2:10" ht="15.75">
      <c r="B377" s="491">
        <v>51440</v>
      </c>
      <c r="C377" s="482">
        <f t="shared" si="29"/>
        <v>0.0589</v>
      </c>
      <c r="D377" s="483">
        <f t="shared" si="30"/>
        <v>0.0085</v>
      </c>
      <c r="E377" s="484">
        <f t="shared" si="28"/>
        <v>0.0674</v>
      </c>
      <c r="F377" s="485"/>
      <c r="G377" s="489"/>
      <c r="H377" s="485">
        <f t="shared" si="32"/>
        <v>0</v>
      </c>
      <c r="I377" s="493">
        <v>31</v>
      </c>
      <c r="J377" s="488">
        <f t="shared" si="31"/>
        <v>0</v>
      </c>
    </row>
    <row r="378" spans="2:10" ht="15.75">
      <c r="B378" s="491">
        <v>51470</v>
      </c>
      <c r="C378" s="482">
        <f t="shared" si="29"/>
        <v>0.0589</v>
      </c>
      <c r="D378" s="483">
        <f t="shared" si="30"/>
        <v>0.0085</v>
      </c>
      <c r="E378" s="484">
        <f t="shared" si="28"/>
        <v>0.0674</v>
      </c>
      <c r="F378" s="485"/>
      <c r="G378" s="489"/>
      <c r="H378" s="485">
        <f t="shared" si="32"/>
        <v>0</v>
      </c>
      <c r="I378" s="493">
        <v>30</v>
      </c>
      <c r="J378" s="488">
        <f t="shared" si="31"/>
        <v>0</v>
      </c>
    </row>
    <row r="379" spans="2:10" ht="15.75">
      <c r="B379" s="491">
        <v>51499</v>
      </c>
      <c r="C379" s="482">
        <f t="shared" si="29"/>
        <v>0.0589</v>
      </c>
      <c r="D379" s="483">
        <f t="shared" si="30"/>
        <v>0.0085</v>
      </c>
      <c r="E379" s="484">
        <f t="shared" si="28"/>
        <v>0.0674</v>
      </c>
      <c r="F379" s="485"/>
      <c r="G379" s="489"/>
      <c r="H379" s="485">
        <f t="shared" si="32"/>
        <v>0</v>
      </c>
      <c r="I379" s="493">
        <v>29</v>
      </c>
      <c r="J379" s="488">
        <f t="shared" si="31"/>
        <v>0</v>
      </c>
    </row>
    <row r="380" spans="2:10" ht="15.75">
      <c r="B380" s="490">
        <v>51500</v>
      </c>
      <c r="C380" s="482">
        <f t="shared" si="29"/>
        <v>0.0589</v>
      </c>
      <c r="D380" s="483">
        <f t="shared" si="30"/>
        <v>0.0085</v>
      </c>
      <c r="E380" s="484">
        <f t="shared" si="28"/>
        <v>0.0674</v>
      </c>
      <c r="F380" s="485"/>
      <c r="G380" s="489"/>
      <c r="H380" s="485">
        <f t="shared" si="32"/>
        <v>0</v>
      </c>
      <c r="I380" s="493">
        <v>1</v>
      </c>
      <c r="J380" s="488">
        <f t="shared" si="31"/>
        <v>0</v>
      </c>
    </row>
    <row r="381" spans="2:10" ht="15.75">
      <c r="B381" s="430">
        <v>51501</v>
      </c>
      <c r="C381" s="431">
        <f t="shared" si="29"/>
        <v>0.0589</v>
      </c>
      <c r="D381" s="432">
        <f t="shared" si="30"/>
        <v>0.0085</v>
      </c>
      <c r="E381" s="433">
        <f t="shared" si="28"/>
        <v>0.0674</v>
      </c>
      <c r="F381" s="434"/>
      <c r="G381" s="534"/>
      <c r="H381" s="434">
        <f t="shared" si="32"/>
        <v>0</v>
      </c>
      <c r="I381" s="436">
        <v>1</v>
      </c>
      <c r="J381" s="437">
        <f t="shared" si="31"/>
        <v>0</v>
      </c>
    </row>
    <row r="382" spans="2:11" ht="15.75">
      <c r="B382" s="440">
        <v>51532</v>
      </c>
      <c r="C382" s="441">
        <f t="shared" si="29"/>
        <v>0.0589</v>
      </c>
      <c r="D382" s="442">
        <f t="shared" si="30"/>
        <v>0.0085</v>
      </c>
      <c r="E382" s="443">
        <f t="shared" si="28"/>
        <v>0.0674</v>
      </c>
      <c r="F382" s="444"/>
      <c r="G382" s="506"/>
      <c r="H382" s="444">
        <f t="shared" si="32"/>
        <v>0</v>
      </c>
      <c r="I382" s="446">
        <v>31</v>
      </c>
      <c r="J382" s="447">
        <f t="shared" si="31"/>
        <v>0</v>
      </c>
      <c r="K382" s="555">
        <f>SUM(J382:J399)</f>
        <v>0</v>
      </c>
    </row>
    <row r="383" spans="2:10" ht="15.75">
      <c r="B383" s="448">
        <v>51560</v>
      </c>
      <c r="C383" s="449">
        <f t="shared" si="29"/>
        <v>0.0589</v>
      </c>
      <c r="D383" s="450">
        <f t="shared" si="30"/>
        <v>0.0085</v>
      </c>
      <c r="E383" s="451">
        <f t="shared" si="28"/>
        <v>0.0674</v>
      </c>
      <c r="F383" s="452"/>
      <c r="G383" s="459"/>
      <c r="H383" s="452">
        <f t="shared" si="32"/>
        <v>0</v>
      </c>
      <c r="I383" s="454">
        <v>28</v>
      </c>
      <c r="J383" s="455">
        <f t="shared" si="31"/>
        <v>0</v>
      </c>
    </row>
    <row r="384" spans="2:10" ht="15.75">
      <c r="B384" s="448">
        <v>51589</v>
      </c>
      <c r="C384" s="449">
        <f t="shared" si="29"/>
        <v>0.0589</v>
      </c>
      <c r="D384" s="450">
        <f t="shared" si="30"/>
        <v>0.0085</v>
      </c>
      <c r="E384" s="451">
        <f t="shared" si="28"/>
        <v>0.0674</v>
      </c>
      <c r="F384" s="452"/>
      <c r="G384" s="459"/>
      <c r="H384" s="452">
        <f t="shared" si="32"/>
        <v>0</v>
      </c>
      <c r="I384" s="454">
        <v>29</v>
      </c>
      <c r="J384" s="455">
        <f t="shared" si="31"/>
        <v>0</v>
      </c>
    </row>
    <row r="385" spans="2:10" ht="15.75">
      <c r="B385" s="458">
        <v>51590</v>
      </c>
      <c r="C385" s="449">
        <f t="shared" si="29"/>
        <v>0.0589</v>
      </c>
      <c r="D385" s="450">
        <f t="shared" si="30"/>
        <v>0.0085</v>
      </c>
      <c r="E385" s="451">
        <f t="shared" si="28"/>
        <v>0.0674</v>
      </c>
      <c r="F385" s="452"/>
      <c r="G385" s="459"/>
      <c r="H385" s="452">
        <f t="shared" si="32"/>
        <v>0</v>
      </c>
      <c r="I385" s="454">
        <v>1</v>
      </c>
      <c r="J385" s="455">
        <f t="shared" si="31"/>
        <v>0</v>
      </c>
    </row>
    <row r="386" spans="2:10" ht="15.75">
      <c r="B386" s="448">
        <v>51591</v>
      </c>
      <c r="C386" s="449">
        <f t="shared" si="29"/>
        <v>0.0589</v>
      </c>
      <c r="D386" s="450">
        <f t="shared" si="30"/>
        <v>0.0085</v>
      </c>
      <c r="E386" s="451">
        <f t="shared" si="28"/>
        <v>0.0674</v>
      </c>
      <c r="F386" s="452"/>
      <c r="G386" s="459"/>
      <c r="H386" s="452">
        <f t="shared" si="32"/>
        <v>0</v>
      </c>
      <c r="I386" s="454">
        <v>1</v>
      </c>
      <c r="J386" s="455">
        <f t="shared" si="31"/>
        <v>0</v>
      </c>
    </row>
    <row r="387" spans="2:10" ht="15.75">
      <c r="B387" s="448">
        <v>51621</v>
      </c>
      <c r="C387" s="449">
        <f t="shared" si="29"/>
        <v>0.0589</v>
      </c>
      <c r="D387" s="450">
        <f t="shared" si="30"/>
        <v>0.0085</v>
      </c>
      <c r="E387" s="451">
        <f t="shared" si="28"/>
        <v>0.0674</v>
      </c>
      <c r="F387" s="452"/>
      <c r="G387" s="459"/>
      <c r="H387" s="452">
        <f t="shared" si="32"/>
        <v>0</v>
      </c>
      <c r="I387" s="454">
        <v>30</v>
      </c>
      <c r="J387" s="455">
        <f t="shared" si="31"/>
        <v>0</v>
      </c>
    </row>
    <row r="388" spans="2:10" ht="15.75">
      <c r="B388" s="461">
        <v>51652</v>
      </c>
      <c r="C388" s="449">
        <f t="shared" si="29"/>
        <v>0.0589</v>
      </c>
      <c r="D388" s="450">
        <f t="shared" si="30"/>
        <v>0.0085</v>
      </c>
      <c r="E388" s="451">
        <f t="shared" si="28"/>
        <v>0.0674</v>
      </c>
      <c r="F388" s="452"/>
      <c r="G388" s="459"/>
      <c r="H388" s="452">
        <f t="shared" si="32"/>
        <v>0</v>
      </c>
      <c r="I388" s="454">
        <v>31</v>
      </c>
      <c r="J388" s="455">
        <f t="shared" si="31"/>
        <v>0</v>
      </c>
    </row>
    <row r="389" spans="2:10" ht="15.75">
      <c r="B389" s="461">
        <v>51681</v>
      </c>
      <c r="C389" s="449">
        <f t="shared" si="29"/>
        <v>0.0589</v>
      </c>
      <c r="D389" s="450">
        <f t="shared" si="30"/>
        <v>0.0085</v>
      </c>
      <c r="E389" s="451">
        <f t="shared" si="28"/>
        <v>0.0674</v>
      </c>
      <c r="F389" s="511"/>
      <c r="G389" s="512"/>
      <c r="H389" s="452">
        <f t="shared" si="32"/>
        <v>0</v>
      </c>
      <c r="I389" s="508">
        <v>29</v>
      </c>
      <c r="J389" s="455">
        <f t="shared" si="31"/>
        <v>0</v>
      </c>
    </row>
    <row r="390" spans="2:10" ht="15.75">
      <c r="B390" s="458">
        <v>51682</v>
      </c>
      <c r="C390" s="449">
        <f t="shared" si="29"/>
        <v>0.0589</v>
      </c>
      <c r="D390" s="450">
        <f t="shared" si="30"/>
        <v>0.0085</v>
      </c>
      <c r="E390" s="451">
        <f t="shared" si="28"/>
        <v>0.0674</v>
      </c>
      <c r="F390" s="452"/>
      <c r="G390" s="459"/>
      <c r="H390" s="452">
        <f t="shared" si="32"/>
        <v>0</v>
      </c>
      <c r="I390" s="454">
        <v>1</v>
      </c>
      <c r="J390" s="455">
        <f t="shared" si="31"/>
        <v>0</v>
      </c>
    </row>
    <row r="391" spans="2:10" ht="15.75">
      <c r="B391" s="448">
        <v>51713</v>
      </c>
      <c r="C391" s="449">
        <f t="shared" si="29"/>
        <v>0.0589</v>
      </c>
      <c r="D391" s="450">
        <f t="shared" si="30"/>
        <v>0.0085</v>
      </c>
      <c r="E391" s="451">
        <f t="shared" si="28"/>
        <v>0.0674</v>
      </c>
      <c r="F391" s="452"/>
      <c r="G391" s="459"/>
      <c r="H391" s="452">
        <f t="shared" si="32"/>
        <v>0</v>
      </c>
      <c r="I391" s="454">
        <v>31</v>
      </c>
      <c r="J391" s="455">
        <f t="shared" si="31"/>
        <v>0</v>
      </c>
    </row>
    <row r="392" spans="2:10" ht="15.75">
      <c r="B392" s="448">
        <v>51744</v>
      </c>
      <c r="C392" s="449">
        <f t="shared" si="29"/>
        <v>0.0589</v>
      </c>
      <c r="D392" s="450">
        <f t="shared" si="30"/>
        <v>0.0085</v>
      </c>
      <c r="E392" s="451">
        <f t="shared" si="28"/>
        <v>0.0674</v>
      </c>
      <c r="F392" s="452"/>
      <c r="G392" s="459"/>
      <c r="H392" s="452">
        <f t="shared" si="32"/>
        <v>0</v>
      </c>
      <c r="I392" s="508">
        <v>31</v>
      </c>
      <c r="J392" s="455">
        <f t="shared" si="31"/>
        <v>0</v>
      </c>
    </row>
    <row r="393" spans="2:10" ht="15.75">
      <c r="B393" s="448">
        <v>51773</v>
      </c>
      <c r="C393" s="449">
        <f t="shared" si="29"/>
        <v>0.0589</v>
      </c>
      <c r="D393" s="450">
        <f t="shared" si="30"/>
        <v>0.0085</v>
      </c>
      <c r="E393" s="451">
        <f t="shared" si="28"/>
        <v>0.0674</v>
      </c>
      <c r="F393" s="452"/>
      <c r="G393" s="459"/>
      <c r="H393" s="452">
        <f t="shared" si="32"/>
        <v>0</v>
      </c>
      <c r="I393" s="454">
        <v>29</v>
      </c>
      <c r="J393" s="455">
        <f t="shared" si="31"/>
        <v>0</v>
      </c>
    </row>
    <row r="394" spans="2:10" ht="15.75">
      <c r="B394" s="458">
        <v>51774</v>
      </c>
      <c r="C394" s="449">
        <f t="shared" si="29"/>
        <v>0.0589</v>
      </c>
      <c r="D394" s="450">
        <f t="shared" si="30"/>
        <v>0.0085</v>
      </c>
      <c r="E394" s="451">
        <f t="shared" si="28"/>
        <v>0.0674</v>
      </c>
      <c r="F394" s="452"/>
      <c r="G394" s="459"/>
      <c r="H394" s="452">
        <f t="shared" si="32"/>
        <v>0</v>
      </c>
      <c r="I394" s="454">
        <v>1</v>
      </c>
      <c r="J394" s="455">
        <f t="shared" si="31"/>
        <v>0</v>
      </c>
    </row>
    <row r="395" spans="2:10" ht="15.75">
      <c r="B395" s="461">
        <v>51805</v>
      </c>
      <c r="C395" s="449">
        <f t="shared" si="29"/>
        <v>0.0589</v>
      </c>
      <c r="D395" s="450">
        <f t="shared" si="30"/>
        <v>0.0085</v>
      </c>
      <c r="E395" s="451">
        <f t="shared" si="28"/>
        <v>0.0674</v>
      </c>
      <c r="F395" s="452"/>
      <c r="G395" s="459"/>
      <c r="H395" s="452">
        <f t="shared" si="32"/>
        <v>0</v>
      </c>
      <c r="I395" s="508">
        <v>31</v>
      </c>
      <c r="J395" s="455">
        <f t="shared" si="31"/>
        <v>0</v>
      </c>
    </row>
    <row r="396" spans="2:10" ht="15.75">
      <c r="B396" s="461">
        <v>51835</v>
      </c>
      <c r="C396" s="449">
        <f t="shared" si="29"/>
        <v>0.0589</v>
      </c>
      <c r="D396" s="450">
        <f t="shared" si="30"/>
        <v>0.0085</v>
      </c>
      <c r="E396" s="451">
        <f t="shared" si="28"/>
        <v>0.0674</v>
      </c>
      <c r="F396" s="452"/>
      <c r="G396" s="459"/>
      <c r="H396" s="452">
        <f t="shared" si="32"/>
        <v>0</v>
      </c>
      <c r="I396" s="508">
        <v>30</v>
      </c>
      <c r="J396" s="455">
        <f t="shared" si="31"/>
        <v>0</v>
      </c>
    </row>
    <row r="397" spans="2:10" ht="15.75">
      <c r="B397" s="461">
        <v>51864</v>
      </c>
      <c r="C397" s="449">
        <f t="shared" si="29"/>
        <v>0.0589</v>
      </c>
      <c r="D397" s="450">
        <f t="shared" si="30"/>
        <v>0.0085</v>
      </c>
      <c r="E397" s="451">
        <f t="shared" si="28"/>
        <v>0.0674</v>
      </c>
      <c r="F397" s="452"/>
      <c r="G397" s="459"/>
      <c r="H397" s="452">
        <f t="shared" si="32"/>
        <v>0</v>
      </c>
      <c r="I397" s="508">
        <v>29</v>
      </c>
      <c r="J397" s="455">
        <f t="shared" si="31"/>
        <v>0</v>
      </c>
    </row>
    <row r="398" spans="2:10" ht="15.75">
      <c r="B398" s="458">
        <v>51865</v>
      </c>
      <c r="C398" s="449">
        <f t="shared" si="29"/>
        <v>0.0589</v>
      </c>
      <c r="D398" s="450">
        <f t="shared" si="30"/>
        <v>0.0085</v>
      </c>
      <c r="E398" s="451">
        <f t="shared" si="28"/>
        <v>0.0674</v>
      </c>
      <c r="F398" s="452"/>
      <c r="G398" s="459"/>
      <c r="H398" s="452">
        <f t="shared" si="32"/>
        <v>0</v>
      </c>
      <c r="I398" s="508">
        <v>1</v>
      </c>
      <c r="J398" s="455">
        <f t="shared" si="31"/>
        <v>0</v>
      </c>
    </row>
    <row r="399" spans="2:10" ht="15.75">
      <c r="B399" s="469">
        <v>51866</v>
      </c>
      <c r="C399" s="470">
        <f t="shared" si="29"/>
        <v>0.0589</v>
      </c>
      <c r="D399" s="471">
        <f t="shared" si="30"/>
        <v>0.0085</v>
      </c>
      <c r="E399" s="472">
        <f t="shared" si="28"/>
        <v>0.0674</v>
      </c>
      <c r="F399" s="473"/>
      <c r="G399" s="554"/>
      <c r="H399" s="473">
        <f t="shared" si="32"/>
        <v>0</v>
      </c>
      <c r="I399" s="475">
        <v>1</v>
      </c>
      <c r="J399" s="476">
        <f t="shared" si="31"/>
        <v>0</v>
      </c>
    </row>
    <row r="400" spans="2:11" ht="15.75" hidden="1">
      <c r="B400" s="479">
        <v>51897</v>
      </c>
      <c r="C400" s="421">
        <f t="shared" si="29"/>
        <v>0.0589</v>
      </c>
      <c r="D400" s="422">
        <f t="shared" si="30"/>
        <v>0.0085</v>
      </c>
      <c r="E400" s="423">
        <f t="shared" si="28"/>
        <v>0.0674</v>
      </c>
      <c r="F400" s="426"/>
      <c r="G400" s="425"/>
      <c r="H400" s="426">
        <f t="shared" si="32"/>
        <v>0</v>
      </c>
      <c r="I400" s="427">
        <v>31</v>
      </c>
      <c r="J400" s="428">
        <f t="shared" si="31"/>
        <v>0</v>
      </c>
      <c r="K400" s="555">
        <f>SUM(J400:J417)</f>
        <v>0</v>
      </c>
    </row>
    <row r="401" spans="2:10" ht="15.75" hidden="1">
      <c r="B401" s="481">
        <v>51925</v>
      </c>
      <c r="C401" s="482">
        <f t="shared" si="29"/>
        <v>0.0589</v>
      </c>
      <c r="D401" s="483">
        <f t="shared" si="30"/>
        <v>0.0085</v>
      </c>
      <c r="E401" s="484">
        <f t="shared" si="28"/>
        <v>0.0674</v>
      </c>
      <c r="F401" s="485"/>
      <c r="G401" s="489"/>
      <c r="H401" s="485">
        <f t="shared" si="32"/>
        <v>0</v>
      </c>
      <c r="I401" s="487">
        <v>28</v>
      </c>
      <c r="J401" s="488">
        <f t="shared" si="31"/>
        <v>0</v>
      </c>
    </row>
    <row r="402" spans="2:10" ht="15.75" hidden="1">
      <c r="B402" s="481">
        <v>51954</v>
      </c>
      <c r="C402" s="482">
        <f t="shared" si="29"/>
        <v>0.0589</v>
      </c>
      <c r="D402" s="483">
        <f t="shared" si="30"/>
        <v>0.0085</v>
      </c>
      <c r="E402" s="484">
        <f t="shared" si="28"/>
        <v>0.0674</v>
      </c>
      <c r="F402" s="485"/>
      <c r="G402" s="489"/>
      <c r="H402" s="485">
        <f t="shared" si="32"/>
        <v>0</v>
      </c>
      <c r="I402" s="487">
        <v>29</v>
      </c>
      <c r="J402" s="488">
        <f t="shared" si="31"/>
        <v>0</v>
      </c>
    </row>
    <row r="403" spans="2:10" ht="15.75" hidden="1">
      <c r="B403" s="490">
        <v>51955</v>
      </c>
      <c r="C403" s="482">
        <f t="shared" si="29"/>
        <v>0.0589</v>
      </c>
      <c r="D403" s="483">
        <f t="shared" si="30"/>
        <v>0.0085</v>
      </c>
      <c r="E403" s="484">
        <f t="shared" si="28"/>
        <v>0.0674</v>
      </c>
      <c r="F403" s="485"/>
      <c r="G403" s="489"/>
      <c r="H403" s="485">
        <f t="shared" si="32"/>
        <v>0</v>
      </c>
      <c r="I403" s="487">
        <v>1</v>
      </c>
      <c r="J403" s="488">
        <f t="shared" si="31"/>
        <v>0</v>
      </c>
    </row>
    <row r="404" spans="2:10" ht="15.75" hidden="1">
      <c r="B404" s="481">
        <v>51956</v>
      </c>
      <c r="C404" s="482">
        <f t="shared" si="29"/>
        <v>0.0589</v>
      </c>
      <c r="D404" s="483">
        <f t="shared" si="30"/>
        <v>0.0085</v>
      </c>
      <c r="E404" s="484">
        <f aca="true" t="shared" si="33" ref="E404:E417">C404+D404</f>
        <v>0.0674</v>
      </c>
      <c r="F404" s="485"/>
      <c r="G404" s="489"/>
      <c r="H404" s="485">
        <f t="shared" si="32"/>
        <v>0</v>
      </c>
      <c r="I404" s="487">
        <v>1</v>
      </c>
      <c r="J404" s="488">
        <f t="shared" si="31"/>
        <v>0</v>
      </c>
    </row>
    <row r="405" spans="2:10" ht="15.75" hidden="1">
      <c r="B405" s="481">
        <v>51986</v>
      </c>
      <c r="C405" s="482">
        <f aca="true" t="shared" si="34" ref="C405:C417">C404</f>
        <v>0.0589</v>
      </c>
      <c r="D405" s="483">
        <f aca="true" t="shared" si="35" ref="D405:D417">D404</f>
        <v>0.0085</v>
      </c>
      <c r="E405" s="484">
        <f t="shared" si="33"/>
        <v>0.0674</v>
      </c>
      <c r="F405" s="485"/>
      <c r="G405" s="489"/>
      <c r="H405" s="485">
        <f t="shared" si="32"/>
        <v>0</v>
      </c>
      <c r="I405" s="487">
        <v>30</v>
      </c>
      <c r="J405" s="488">
        <f t="shared" si="31"/>
        <v>0</v>
      </c>
    </row>
    <row r="406" spans="2:10" ht="15.75" hidden="1">
      <c r="B406" s="491">
        <v>52017</v>
      </c>
      <c r="C406" s="482">
        <f t="shared" si="34"/>
        <v>0.0589</v>
      </c>
      <c r="D406" s="483">
        <f t="shared" si="35"/>
        <v>0.0085</v>
      </c>
      <c r="E406" s="484">
        <f t="shared" si="33"/>
        <v>0.0674</v>
      </c>
      <c r="F406" s="485"/>
      <c r="G406" s="489"/>
      <c r="H406" s="485">
        <f t="shared" si="32"/>
        <v>0</v>
      </c>
      <c r="I406" s="487">
        <v>31</v>
      </c>
      <c r="J406" s="488">
        <f t="shared" si="31"/>
        <v>0</v>
      </c>
    </row>
    <row r="407" spans="2:10" ht="15.75" hidden="1">
      <c r="B407" s="491">
        <v>52046</v>
      </c>
      <c r="C407" s="482">
        <f t="shared" si="34"/>
        <v>0.0589</v>
      </c>
      <c r="D407" s="483">
        <f t="shared" si="35"/>
        <v>0.0085</v>
      </c>
      <c r="E407" s="484">
        <f t="shared" si="33"/>
        <v>0.0674</v>
      </c>
      <c r="F407" s="498"/>
      <c r="G407" s="531"/>
      <c r="H407" s="485">
        <f t="shared" si="32"/>
        <v>0</v>
      </c>
      <c r="I407" s="493">
        <v>29</v>
      </c>
      <c r="J407" s="488">
        <f t="shared" si="31"/>
        <v>0</v>
      </c>
    </row>
    <row r="408" spans="2:10" ht="15.75" hidden="1">
      <c r="B408" s="490">
        <v>52047</v>
      </c>
      <c r="C408" s="482">
        <f t="shared" si="34"/>
        <v>0.0589</v>
      </c>
      <c r="D408" s="483">
        <f t="shared" si="35"/>
        <v>0.0085</v>
      </c>
      <c r="E408" s="484">
        <f t="shared" si="33"/>
        <v>0.0674</v>
      </c>
      <c r="F408" s="485"/>
      <c r="G408" s="489"/>
      <c r="H408" s="485">
        <f t="shared" si="32"/>
        <v>0</v>
      </c>
      <c r="I408" s="487">
        <v>1</v>
      </c>
      <c r="J408" s="488">
        <f t="shared" si="31"/>
        <v>0</v>
      </c>
    </row>
    <row r="409" spans="2:10" ht="15.75" hidden="1">
      <c r="B409" s="481">
        <v>52078</v>
      </c>
      <c r="C409" s="482">
        <f t="shared" si="34"/>
        <v>0.0589</v>
      </c>
      <c r="D409" s="483">
        <f t="shared" si="35"/>
        <v>0.0085</v>
      </c>
      <c r="E409" s="484">
        <f t="shared" si="33"/>
        <v>0.0674</v>
      </c>
      <c r="F409" s="485"/>
      <c r="G409" s="489"/>
      <c r="H409" s="485">
        <f t="shared" si="32"/>
        <v>0</v>
      </c>
      <c r="I409" s="487">
        <v>31</v>
      </c>
      <c r="J409" s="488">
        <f t="shared" si="31"/>
        <v>0</v>
      </c>
    </row>
    <row r="410" spans="2:10" ht="15.75" hidden="1">
      <c r="B410" s="481">
        <v>52109</v>
      </c>
      <c r="C410" s="482">
        <f t="shared" si="34"/>
        <v>0.0589</v>
      </c>
      <c r="D410" s="483">
        <f t="shared" si="35"/>
        <v>0.0085</v>
      </c>
      <c r="E410" s="484">
        <f t="shared" si="33"/>
        <v>0.0674</v>
      </c>
      <c r="F410" s="485"/>
      <c r="G410" s="489"/>
      <c r="H410" s="485">
        <f t="shared" si="32"/>
        <v>0</v>
      </c>
      <c r="I410" s="493">
        <v>31</v>
      </c>
      <c r="J410" s="488">
        <f t="shared" si="31"/>
        <v>0</v>
      </c>
    </row>
    <row r="411" spans="2:10" ht="15.75" hidden="1">
      <c r="B411" s="481">
        <v>52138</v>
      </c>
      <c r="C411" s="482">
        <f t="shared" si="34"/>
        <v>0.0589</v>
      </c>
      <c r="D411" s="483">
        <f t="shared" si="35"/>
        <v>0.0085</v>
      </c>
      <c r="E411" s="484">
        <f t="shared" si="33"/>
        <v>0.0674</v>
      </c>
      <c r="F411" s="485"/>
      <c r="G411" s="489"/>
      <c r="H411" s="485">
        <f t="shared" si="32"/>
        <v>0</v>
      </c>
      <c r="I411" s="487">
        <v>29</v>
      </c>
      <c r="J411" s="488">
        <f t="shared" si="31"/>
        <v>0</v>
      </c>
    </row>
    <row r="412" spans="2:10" ht="15.75" hidden="1">
      <c r="B412" s="490">
        <v>52139</v>
      </c>
      <c r="C412" s="482">
        <f t="shared" si="34"/>
        <v>0.0589</v>
      </c>
      <c r="D412" s="483">
        <f t="shared" si="35"/>
        <v>0.0085</v>
      </c>
      <c r="E412" s="484">
        <f t="shared" si="33"/>
        <v>0.0674</v>
      </c>
      <c r="F412" s="485"/>
      <c r="G412" s="489"/>
      <c r="H412" s="485">
        <f t="shared" si="32"/>
        <v>0</v>
      </c>
      <c r="I412" s="487">
        <v>1</v>
      </c>
      <c r="J412" s="488">
        <f t="shared" si="31"/>
        <v>0</v>
      </c>
    </row>
    <row r="413" spans="2:10" ht="15.75" hidden="1">
      <c r="B413" s="491">
        <v>52170</v>
      </c>
      <c r="C413" s="482">
        <f t="shared" si="34"/>
        <v>0.0589</v>
      </c>
      <c r="D413" s="483">
        <f t="shared" si="35"/>
        <v>0.0085</v>
      </c>
      <c r="E413" s="484">
        <f t="shared" si="33"/>
        <v>0.0674</v>
      </c>
      <c r="F413" s="485"/>
      <c r="G413" s="489"/>
      <c r="H413" s="485">
        <f t="shared" si="32"/>
        <v>0</v>
      </c>
      <c r="I413" s="493">
        <v>31</v>
      </c>
      <c r="J413" s="488">
        <f t="shared" si="31"/>
        <v>0</v>
      </c>
    </row>
    <row r="414" spans="2:10" ht="15.75" hidden="1">
      <c r="B414" s="491">
        <v>52200</v>
      </c>
      <c r="C414" s="482">
        <f t="shared" si="34"/>
        <v>0.0589</v>
      </c>
      <c r="D414" s="483">
        <f t="shared" si="35"/>
        <v>0.0085</v>
      </c>
      <c r="E414" s="484">
        <f t="shared" si="33"/>
        <v>0.0674</v>
      </c>
      <c r="F414" s="485"/>
      <c r="G414" s="489"/>
      <c r="H414" s="485">
        <f t="shared" si="32"/>
        <v>0</v>
      </c>
      <c r="I414" s="493">
        <v>30</v>
      </c>
      <c r="J414" s="488">
        <f>H414*E414*I414/365</f>
        <v>0</v>
      </c>
    </row>
    <row r="415" spans="2:10" ht="15.75" hidden="1">
      <c r="B415" s="491">
        <v>52229</v>
      </c>
      <c r="C415" s="482">
        <f t="shared" si="34"/>
        <v>0.0589</v>
      </c>
      <c r="D415" s="483">
        <f t="shared" si="35"/>
        <v>0.0085</v>
      </c>
      <c r="E415" s="484">
        <f t="shared" si="33"/>
        <v>0.0674</v>
      </c>
      <c r="F415" s="485"/>
      <c r="G415" s="489"/>
      <c r="H415" s="485">
        <f t="shared" si="32"/>
        <v>0</v>
      </c>
      <c r="I415" s="493">
        <v>29</v>
      </c>
      <c r="J415" s="488">
        <f>H415*E415*I415/365</f>
        <v>0</v>
      </c>
    </row>
    <row r="416" spans="2:10" ht="15.75" hidden="1">
      <c r="B416" s="490">
        <v>52230</v>
      </c>
      <c r="C416" s="482">
        <f t="shared" si="34"/>
        <v>0.0589</v>
      </c>
      <c r="D416" s="483">
        <f t="shared" si="35"/>
        <v>0.0085</v>
      </c>
      <c r="E416" s="484">
        <f t="shared" si="33"/>
        <v>0.0674</v>
      </c>
      <c r="F416" s="485"/>
      <c r="G416" s="489"/>
      <c r="H416" s="485">
        <f t="shared" si="32"/>
        <v>0</v>
      </c>
      <c r="I416" s="493">
        <v>1</v>
      </c>
      <c r="J416" s="488">
        <f>H416*E416*I416/365</f>
        <v>0</v>
      </c>
    </row>
    <row r="417" spans="2:10" ht="15.75" hidden="1">
      <c r="B417" s="430">
        <v>52231</v>
      </c>
      <c r="C417" s="431">
        <f t="shared" si="34"/>
        <v>0.0589</v>
      </c>
      <c r="D417" s="432">
        <f t="shared" si="35"/>
        <v>0.0085</v>
      </c>
      <c r="E417" s="433">
        <f t="shared" si="33"/>
        <v>0.0674</v>
      </c>
      <c r="F417" s="434"/>
      <c r="G417" s="534"/>
      <c r="H417" s="434">
        <f t="shared" si="32"/>
        <v>0</v>
      </c>
      <c r="I417" s="436">
        <v>1</v>
      </c>
      <c r="J417" s="437">
        <f>H417*E417*I417/365</f>
        <v>0</v>
      </c>
    </row>
    <row r="419" spans="9:11" ht="12.75">
      <c r="I419" t="s">
        <v>192</v>
      </c>
      <c r="J419" s="555">
        <f>K22+K40+K58+K76+K94+K112+K130+K148+K166+K184+K202+K220+K238+K256+K274+K292+K310+K328+K346+K364+K382</f>
        <v>956780.3989767196</v>
      </c>
      <c r="K419" s="555">
        <f>SUM(J20:J417)</f>
        <v>956780.3989767194</v>
      </c>
    </row>
    <row r="420" spans="9:10" ht="12.75">
      <c r="I420" t="s">
        <v>193</v>
      </c>
      <c r="J420" s="555">
        <f>D3*D8</f>
        <v>35000</v>
      </c>
    </row>
    <row r="421" spans="9:10" ht="15">
      <c r="I421" s="556" t="s">
        <v>194</v>
      </c>
      <c r="J421" s="557">
        <f>J419+J420</f>
        <v>991780.3989767196</v>
      </c>
    </row>
  </sheetData>
  <sheetProtection selectLockedCells="1" selectUnlockedCells="1"/>
  <mergeCells count="31">
    <mergeCell ref="A2:G2"/>
    <mergeCell ref="A3:C3"/>
    <mergeCell ref="D3:G3"/>
    <mergeCell ref="A4:C5"/>
    <mergeCell ref="D4:G4"/>
    <mergeCell ref="D5:G5"/>
    <mergeCell ref="A6:C6"/>
    <mergeCell ref="D6:G6"/>
    <mergeCell ref="A7:C7"/>
    <mergeCell ref="D7:G7"/>
    <mergeCell ref="A8:C8"/>
    <mergeCell ref="D8:G8"/>
    <mergeCell ref="D18:D19"/>
    <mergeCell ref="F18:F19"/>
    <mergeCell ref="G18:G19"/>
    <mergeCell ref="A9:C9"/>
    <mergeCell ref="D9:G9"/>
    <mergeCell ref="A10:C10"/>
    <mergeCell ref="D10:G10"/>
    <mergeCell ref="A11:C11"/>
    <mergeCell ref="E11:G11"/>
    <mergeCell ref="H18:H19"/>
    <mergeCell ref="I18:I19"/>
    <mergeCell ref="M19:O21"/>
    <mergeCell ref="A12:C12"/>
    <mergeCell ref="D12:G12"/>
    <mergeCell ref="A13:C13"/>
    <mergeCell ref="D13:G13"/>
    <mergeCell ref="B16:J16"/>
    <mergeCell ref="B18:B19"/>
    <mergeCell ref="C18:C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9"/>
  <sheetViews>
    <sheetView zoomScalePageLayoutView="0" workbookViewId="0" topLeftCell="A10">
      <selection activeCell="I17" sqref="I17"/>
    </sheetView>
  </sheetViews>
  <sheetFormatPr defaultColWidth="9.140625" defaultRowHeight="12.75" outlineLevelRow="1"/>
  <cols>
    <col min="2" max="2" width="15.00390625" style="0" customWidth="1"/>
    <col min="3" max="3" width="26.00390625" style="0" customWidth="1"/>
    <col min="4" max="4" width="13.57421875" style="0" customWidth="1"/>
    <col min="5" max="5" width="11.28125" style="0" customWidth="1"/>
    <col min="6" max="6" width="10.7109375" style="0" customWidth="1"/>
    <col min="14" max="14" width="14.8515625" style="0" customWidth="1"/>
    <col min="15" max="15" width="19.140625" style="0" customWidth="1"/>
    <col min="16" max="16" width="14.421875" style="0" customWidth="1"/>
  </cols>
  <sheetData>
    <row r="1" spans="1:10" ht="12.75" customHeight="1">
      <c r="A1" s="873" t="s">
        <v>98</v>
      </c>
      <c r="B1" s="873"/>
      <c r="C1" s="254"/>
      <c r="D1" s="254"/>
      <c r="E1" s="254"/>
      <c r="F1" s="254"/>
      <c r="G1" s="255"/>
      <c r="H1" s="255"/>
      <c r="I1" s="256"/>
      <c r="J1" s="256"/>
    </row>
    <row r="2" spans="1:10" ht="12.75">
      <c r="A2" s="874"/>
      <c r="B2" s="874"/>
      <c r="C2" s="254"/>
      <c r="D2" s="254"/>
      <c r="E2" s="254"/>
      <c r="F2" s="254"/>
      <c r="G2" s="255"/>
      <c r="H2" s="255"/>
      <c r="I2" s="256"/>
      <c r="J2" s="256"/>
    </row>
    <row r="3" spans="1:10" ht="12.75">
      <c r="A3" s="875"/>
      <c r="B3" s="875"/>
      <c r="C3" s="254"/>
      <c r="D3" s="254"/>
      <c r="E3" s="254"/>
      <c r="F3" s="254"/>
      <c r="G3" s="255"/>
      <c r="H3" s="255"/>
      <c r="I3" s="256"/>
      <c r="J3" s="256"/>
    </row>
    <row r="4" spans="1:10" ht="12.75" customHeight="1">
      <c r="A4" s="876" t="s">
        <v>99</v>
      </c>
      <c r="B4" s="876"/>
      <c r="C4" s="254"/>
      <c r="D4" s="254"/>
      <c r="E4" s="254"/>
      <c r="F4" s="254"/>
      <c r="G4" s="255"/>
      <c r="H4" s="255"/>
      <c r="I4" s="256"/>
      <c r="J4" s="256"/>
    </row>
    <row r="5" spans="1:10" ht="12.75">
      <c r="A5" s="254"/>
      <c r="B5" s="254"/>
      <c r="C5" s="254"/>
      <c r="D5" s="254"/>
      <c r="E5" s="254"/>
      <c r="F5" s="254"/>
      <c r="G5" s="255"/>
      <c r="H5" s="255"/>
      <c r="I5" s="256"/>
      <c r="J5" s="256"/>
    </row>
    <row r="6" spans="1:10" ht="12.75" customHeight="1">
      <c r="A6" s="877" t="s">
        <v>202</v>
      </c>
      <c r="B6" s="877"/>
      <c r="C6" s="254"/>
      <c r="D6" s="254"/>
      <c r="E6" s="254"/>
      <c r="F6" s="254"/>
      <c r="G6" s="255"/>
      <c r="H6" s="255"/>
      <c r="I6" s="256"/>
      <c r="J6" s="256"/>
    </row>
    <row r="7" spans="1:10" ht="12.75">
      <c r="A7" s="254"/>
      <c r="B7" s="254"/>
      <c r="C7" s="254"/>
      <c r="D7" s="254"/>
      <c r="E7" s="254"/>
      <c r="F7" s="254"/>
      <c r="G7" s="255"/>
      <c r="H7" s="255"/>
      <c r="I7" s="256"/>
      <c r="J7" s="256"/>
    </row>
    <row r="8" spans="1:10" ht="35.25" customHeight="1">
      <c r="A8" s="878" t="s">
        <v>203</v>
      </c>
      <c r="B8" s="878"/>
      <c r="C8" s="878"/>
      <c r="D8" s="878"/>
      <c r="E8" s="878"/>
      <c r="F8" s="878"/>
      <c r="G8" s="255"/>
      <c r="H8" s="255"/>
      <c r="I8" s="256"/>
      <c r="J8" s="256"/>
    </row>
    <row r="9" spans="1:10" ht="12.75">
      <c r="A9" s="256"/>
      <c r="B9" s="255"/>
      <c r="C9" s="255"/>
      <c r="D9" s="255"/>
      <c r="E9" s="257"/>
      <c r="F9" s="258"/>
      <c r="G9" s="255"/>
      <c r="H9" s="255"/>
      <c r="I9" s="256"/>
      <c r="J9" s="256"/>
    </row>
    <row r="10" spans="1:10" ht="12.75">
      <c r="A10" s="256"/>
      <c r="B10" s="255"/>
      <c r="C10" s="255"/>
      <c r="D10" s="255"/>
      <c r="E10" s="257"/>
      <c r="F10" s="258"/>
      <c r="G10" s="255"/>
      <c r="H10" s="255"/>
      <c r="I10" s="256"/>
      <c r="J10" s="256"/>
    </row>
    <row r="11" spans="1:10" ht="12.75">
      <c r="A11" s="256" t="s">
        <v>204</v>
      </c>
      <c r="B11" s="255"/>
      <c r="C11" s="255"/>
      <c r="D11" s="255"/>
      <c r="E11" s="560">
        <v>0.0589</v>
      </c>
      <c r="F11" s="258"/>
      <c r="G11" s="255"/>
      <c r="H11" s="255"/>
      <c r="I11" s="256"/>
      <c r="J11" s="256"/>
    </row>
    <row r="12" spans="1:10" ht="12.75">
      <c r="A12" s="256" t="s">
        <v>103</v>
      </c>
      <c r="B12" s="255"/>
      <c r="C12" s="255"/>
      <c r="D12" s="255"/>
      <c r="E12" s="260">
        <v>0.0052</v>
      </c>
      <c r="F12" s="258"/>
      <c r="G12" s="255"/>
      <c r="H12" s="255"/>
      <c r="I12" s="256"/>
      <c r="J12" s="256"/>
    </row>
    <row r="13" spans="1:10" ht="12.75">
      <c r="A13" s="256" t="s">
        <v>104</v>
      </c>
      <c r="B13" s="255"/>
      <c r="C13" s="255"/>
      <c r="D13" s="255"/>
      <c r="E13" s="261">
        <v>44896</v>
      </c>
      <c r="F13" s="258"/>
      <c r="G13" s="255"/>
      <c r="H13" s="255"/>
      <c r="I13" s="256"/>
      <c r="J13" s="256"/>
    </row>
    <row r="14" spans="1:15" ht="12.75">
      <c r="A14" s="256"/>
      <c r="B14" s="255"/>
      <c r="C14" s="255"/>
      <c r="D14" s="255"/>
      <c r="E14" s="262"/>
      <c r="F14" s="258"/>
      <c r="G14" s="255"/>
      <c r="H14" s="255"/>
      <c r="I14" s="256"/>
      <c r="J14" s="256"/>
      <c r="M14" s="869" t="s">
        <v>235</v>
      </c>
      <c r="N14" s="869"/>
      <c r="O14" s="869"/>
    </row>
    <row r="15" spans="1:15" ht="12.75">
      <c r="A15" s="870" t="s">
        <v>106</v>
      </c>
      <c r="B15" s="870"/>
      <c r="C15" s="870"/>
      <c r="D15" s="870"/>
      <c r="E15" s="870"/>
      <c r="F15" s="870"/>
      <c r="G15" s="255"/>
      <c r="H15" s="255"/>
      <c r="I15" s="256"/>
      <c r="J15" s="256"/>
      <c r="M15" s="869"/>
      <c r="N15" s="869"/>
      <c r="O15" s="869"/>
    </row>
    <row r="16" spans="1:15" ht="13.5" customHeight="1">
      <c r="A16" s="871" t="s">
        <v>107</v>
      </c>
      <c r="B16" s="871"/>
      <c r="C16" s="871"/>
      <c r="D16" s="871"/>
      <c r="E16" s="871"/>
      <c r="F16" s="871"/>
      <c r="G16" s="255"/>
      <c r="H16" s="255"/>
      <c r="I16" s="256"/>
      <c r="J16" s="256"/>
      <c r="M16" s="869"/>
      <c r="N16" s="869"/>
      <c r="O16" s="869"/>
    </row>
    <row r="17" spans="1:15" ht="30" customHeight="1">
      <c r="A17" s="871" t="s">
        <v>108</v>
      </c>
      <c r="B17" s="871"/>
      <c r="C17" s="871"/>
      <c r="D17" s="871"/>
      <c r="E17" s="871"/>
      <c r="F17" s="871"/>
      <c r="G17" s="255"/>
      <c r="H17" s="255"/>
      <c r="I17" s="256"/>
      <c r="J17" s="256"/>
      <c r="M17" s="477" t="s">
        <v>109</v>
      </c>
      <c r="N17" s="478" t="s">
        <v>205</v>
      </c>
      <c r="O17" s="478" t="s">
        <v>206</v>
      </c>
    </row>
    <row r="18" spans="1:15" ht="12.75" customHeight="1">
      <c r="A18" s="872" t="s">
        <v>112</v>
      </c>
      <c r="B18" s="872"/>
      <c r="C18" s="872"/>
      <c r="D18" s="872"/>
      <c r="E18" s="872"/>
      <c r="F18" s="872"/>
      <c r="G18" s="255"/>
      <c r="H18" s="255"/>
      <c r="I18" s="256"/>
      <c r="J18" s="256"/>
      <c r="M18" s="265">
        <v>2022</v>
      </c>
      <c r="N18" s="266">
        <f>F30</f>
        <v>0</v>
      </c>
      <c r="O18" s="266">
        <f>D30</f>
        <v>0</v>
      </c>
    </row>
    <row r="19" spans="1:15" ht="12.75">
      <c r="A19" s="267"/>
      <c r="B19" s="268"/>
      <c r="C19" s="268"/>
      <c r="D19" s="268"/>
      <c r="E19" s="269"/>
      <c r="F19" s="270"/>
      <c r="G19" s="255"/>
      <c r="H19" s="255"/>
      <c r="I19" s="256"/>
      <c r="J19" s="256"/>
      <c r="M19" s="265">
        <v>2023</v>
      </c>
      <c r="N19" s="266">
        <f>F40</f>
        <v>1268921.367671233</v>
      </c>
      <c r="O19" s="266">
        <f>D40</f>
        <v>1000000</v>
      </c>
    </row>
    <row r="20" spans="1:15" ht="12.75">
      <c r="A20" s="256"/>
      <c r="B20" s="255"/>
      <c r="C20" s="255"/>
      <c r="D20" s="255"/>
      <c r="E20" s="257"/>
      <c r="F20" s="258"/>
      <c r="G20" s="255"/>
      <c r="H20" s="255"/>
      <c r="I20" s="256"/>
      <c r="J20" s="256"/>
      <c r="M20" s="265">
        <v>2024</v>
      </c>
      <c r="N20" s="266">
        <f>F50</f>
        <v>1068494.3150684931</v>
      </c>
      <c r="O20" s="266">
        <f>D50</f>
        <v>1000000</v>
      </c>
    </row>
    <row r="21" spans="1:15" ht="12.75">
      <c r="A21" s="291"/>
      <c r="B21" s="282"/>
      <c r="C21" s="282"/>
      <c r="D21" s="282"/>
      <c r="E21" s="284"/>
      <c r="F21" s="285"/>
      <c r="G21" s="282"/>
      <c r="H21" s="286"/>
      <c r="I21" s="256"/>
      <c r="J21" s="256"/>
      <c r="M21" s="265">
        <v>2025</v>
      </c>
      <c r="N21" s="266">
        <f>F60</f>
        <v>1001408.8356164384</v>
      </c>
      <c r="O21" s="266">
        <f>D60</f>
        <v>1000000</v>
      </c>
    </row>
    <row r="22" spans="1:15" ht="12.75" outlineLevel="1">
      <c r="A22" s="864" t="s">
        <v>113</v>
      </c>
      <c r="B22" s="864"/>
      <c r="C22" s="864"/>
      <c r="D22" s="864"/>
      <c r="E22" s="864"/>
      <c r="F22" s="864"/>
      <c r="G22" s="864"/>
      <c r="H22" s="864"/>
      <c r="I22" s="256"/>
      <c r="J22" s="256"/>
      <c r="M22" s="265">
        <v>2026</v>
      </c>
      <c r="N22" s="266">
        <f>F70</f>
        <v>937308.8356164384</v>
      </c>
      <c r="O22" s="266">
        <f>D70</f>
        <v>1000000</v>
      </c>
    </row>
    <row r="23" spans="1:15" ht="12.75" outlineLevel="1">
      <c r="A23" s="271"/>
      <c r="B23" s="272"/>
      <c r="C23" s="272"/>
      <c r="D23" s="272"/>
      <c r="E23" s="273"/>
      <c r="F23" s="274"/>
      <c r="G23" s="272"/>
      <c r="H23" s="275"/>
      <c r="I23" s="256"/>
      <c r="J23" s="256"/>
      <c r="M23" s="265">
        <v>2027</v>
      </c>
      <c r="N23" s="266">
        <f>F80</f>
        <v>873208.8356164384</v>
      </c>
      <c r="O23" s="266">
        <f>D80</f>
        <v>1000000</v>
      </c>
    </row>
    <row r="24" spans="1:15" ht="22.5" outlineLevel="1">
      <c r="A24" s="276" t="s">
        <v>114</v>
      </c>
      <c r="B24" s="277" t="s">
        <v>115</v>
      </c>
      <c r="C24" s="277" t="s">
        <v>116</v>
      </c>
      <c r="D24" s="277" t="s">
        <v>117</v>
      </c>
      <c r="E24" s="278" t="s">
        <v>118</v>
      </c>
      <c r="F24" s="279" t="s">
        <v>48</v>
      </c>
      <c r="G24" s="277"/>
      <c r="H24" s="280"/>
      <c r="I24" s="256"/>
      <c r="J24" s="256"/>
      <c r="M24" s="265">
        <v>2028</v>
      </c>
      <c r="N24" s="266">
        <f>F90</f>
        <v>811391.8493150685</v>
      </c>
      <c r="O24" s="266">
        <f>D90</f>
        <v>1000000</v>
      </c>
    </row>
    <row r="25" spans="1:15" ht="12.75" outlineLevel="1">
      <c r="A25" s="281" t="s">
        <v>121</v>
      </c>
      <c r="B25" s="282"/>
      <c r="C25" s="282"/>
      <c r="D25" s="282"/>
      <c r="E25" s="284"/>
      <c r="F25" s="285"/>
      <c r="G25" s="282"/>
      <c r="H25" s="286"/>
      <c r="I25" s="256"/>
      <c r="J25" s="256"/>
      <c r="M25" s="265">
        <v>2029</v>
      </c>
      <c r="N25" s="266">
        <f>F100</f>
        <v>745008.8356164383</v>
      </c>
      <c r="O25" s="266">
        <f>D100</f>
        <v>1000000</v>
      </c>
    </row>
    <row r="26" spans="1:15" ht="12.75" outlineLevel="1">
      <c r="A26" s="307">
        <v>44651</v>
      </c>
      <c r="B26" s="282"/>
      <c r="C26" s="282"/>
      <c r="D26" s="282"/>
      <c r="E26" s="308">
        <f>$E$11+$E$12</f>
        <v>0.0641</v>
      </c>
      <c r="F26" s="285"/>
      <c r="G26" s="282"/>
      <c r="H26" s="286"/>
      <c r="I26" s="256">
        <v>365</v>
      </c>
      <c r="J26" s="256"/>
      <c r="M26" s="265">
        <v>2030</v>
      </c>
      <c r="N26" s="266">
        <f>F110</f>
        <v>680908.8356164384</v>
      </c>
      <c r="O26" s="266">
        <f>D110</f>
        <v>1000000</v>
      </c>
    </row>
    <row r="27" spans="1:15" ht="12.75" outlineLevel="1">
      <c r="A27" s="307">
        <v>44742</v>
      </c>
      <c r="B27" s="282">
        <v>30</v>
      </c>
      <c r="C27" s="282"/>
      <c r="D27" s="282">
        <v>0</v>
      </c>
      <c r="E27" s="308">
        <f>$E$11+$E$12</f>
        <v>0.0641</v>
      </c>
      <c r="F27" s="285">
        <f>B27*C26*E27/I27</f>
        <v>0</v>
      </c>
      <c r="G27" s="282"/>
      <c r="H27" s="286"/>
      <c r="I27" s="256">
        <v>365</v>
      </c>
      <c r="J27" s="256"/>
      <c r="M27" s="265">
        <v>2031</v>
      </c>
      <c r="N27" s="266">
        <f>F120</f>
        <v>616808.8356164384</v>
      </c>
      <c r="O27" s="266">
        <f>D120</f>
        <v>1000000</v>
      </c>
    </row>
    <row r="28" spans="1:15" ht="12.75" outlineLevel="1">
      <c r="A28" s="307">
        <v>44834</v>
      </c>
      <c r="B28" s="282">
        <f>A28-A27</f>
        <v>92</v>
      </c>
      <c r="C28" s="282"/>
      <c r="D28" s="282"/>
      <c r="E28" s="308">
        <f>$E$11+$E$12</f>
        <v>0.0641</v>
      </c>
      <c r="F28" s="285">
        <f>B28*C27*E28/I28</f>
        <v>0</v>
      </c>
      <c r="G28" s="282"/>
      <c r="H28" s="286"/>
      <c r="I28" s="256">
        <v>365</v>
      </c>
      <c r="J28" s="256"/>
      <c r="M28" s="265">
        <v>2032</v>
      </c>
      <c r="N28" s="266">
        <f>F130</f>
        <v>554289.3835616438</v>
      </c>
      <c r="O28" s="266">
        <f>D130</f>
        <v>1000000</v>
      </c>
    </row>
    <row r="29" spans="1:15" ht="12.75" outlineLevel="1">
      <c r="A29" s="307">
        <v>44926</v>
      </c>
      <c r="B29" s="282">
        <f>A29-A28</f>
        <v>92</v>
      </c>
      <c r="C29" s="282">
        <v>18000000</v>
      </c>
      <c r="D29" s="282"/>
      <c r="E29" s="308">
        <f>$E$11+$E$12</f>
        <v>0.0641</v>
      </c>
      <c r="F29" s="285">
        <f>B29*C28*E29/I29</f>
        <v>0</v>
      </c>
      <c r="G29" s="282"/>
      <c r="H29" s="286"/>
      <c r="I29" s="256">
        <v>365</v>
      </c>
      <c r="J29" s="256"/>
      <c r="M29" s="265">
        <v>2033</v>
      </c>
      <c r="N29" s="266">
        <f>F140</f>
        <v>488608.83561643836</v>
      </c>
      <c r="O29" s="266">
        <f>D140</f>
        <v>1000000</v>
      </c>
    </row>
    <row r="30" spans="1:15" ht="12.75" outlineLevel="1">
      <c r="A30" s="309"/>
      <c r="B30" s="288"/>
      <c r="C30" s="288">
        <f>C29</f>
        <v>18000000</v>
      </c>
      <c r="D30" s="288">
        <f>SUM(D26:D29)</f>
        <v>0</v>
      </c>
      <c r="E30" s="289"/>
      <c r="F30" s="274">
        <f>SUM(F27:F29)</f>
        <v>0</v>
      </c>
      <c r="G30" s="288"/>
      <c r="H30" s="290"/>
      <c r="I30" s="256"/>
      <c r="J30" s="256"/>
      <c r="M30" s="265">
        <v>2034</v>
      </c>
      <c r="N30" s="266">
        <f>F150</f>
        <v>424508.83561643836</v>
      </c>
      <c r="O30" s="266">
        <f>D150</f>
        <v>1000000</v>
      </c>
    </row>
    <row r="31" spans="1:15" ht="12.75" outlineLevel="1">
      <c r="A31" s="291"/>
      <c r="B31" s="282"/>
      <c r="C31" s="282"/>
      <c r="D31" s="282"/>
      <c r="E31" s="284"/>
      <c r="F31" s="285"/>
      <c r="G31" s="282"/>
      <c r="H31" s="286"/>
      <c r="I31" s="256"/>
      <c r="J31" s="256"/>
      <c r="M31" s="265">
        <v>2035</v>
      </c>
      <c r="N31" s="266">
        <f>F160</f>
        <v>360408.8356164384</v>
      </c>
      <c r="O31" s="266">
        <f>D160</f>
        <v>1000000</v>
      </c>
    </row>
    <row r="32" spans="1:15" ht="12.75" outlineLevel="1">
      <c r="A32" s="864" t="s">
        <v>113</v>
      </c>
      <c r="B32" s="864"/>
      <c r="C32" s="864"/>
      <c r="D32" s="864"/>
      <c r="E32" s="864"/>
      <c r="F32" s="864"/>
      <c r="G32" s="864"/>
      <c r="H32" s="864"/>
      <c r="I32" s="256"/>
      <c r="J32" s="256"/>
      <c r="M32" s="265">
        <v>2036</v>
      </c>
      <c r="N32" s="266">
        <f>F170</f>
        <v>297186.9178082192</v>
      </c>
      <c r="O32" s="266">
        <f>D170</f>
        <v>1000000</v>
      </c>
    </row>
    <row r="33" spans="1:15" ht="12.75" outlineLevel="1">
      <c r="A33" s="271"/>
      <c r="B33" s="272"/>
      <c r="C33" s="272"/>
      <c r="D33" s="272"/>
      <c r="E33" s="273"/>
      <c r="F33" s="274"/>
      <c r="G33" s="272"/>
      <c r="H33" s="275"/>
      <c r="I33" s="256"/>
      <c r="J33" s="256"/>
      <c r="M33" s="265">
        <v>2037</v>
      </c>
      <c r="N33" s="266">
        <f>F180</f>
        <v>232208.83561643836</v>
      </c>
      <c r="O33" s="266">
        <f>D180</f>
        <v>1000000</v>
      </c>
    </row>
    <row r="34" spans="1:15" ht="22.5" outlineLevel="1">
      <c r="A34" s="276" t="s">
        <v>114</v>
      </c>
      <c r="B34" s="277" t="s">
        <v>115</v>
      </c>
      <c r="C34" s="277" t="s">
        <v>116</v>
      </c>
      <c r="D34" s="277" t="s">
        <v>117</v>
      </c>
      <c r="E34" s="278" t="s">
        <v>118</v>
      </c>
      <c r="F34" s="279" t="s">
        <v>48</v>
      </c>
      <c r="G34" s="277"/>
      <c r="H34" s="280"/>
      <c r="I34" s="256"/>
      <c r="J34" s="256"/>
      <c r="M34" s="265">
        <v>2038</v>
      </c>
      <c r="N34" s="266">
        <f>F190</f>
        <v>168108.83561643836</v>
      </c>
      <c r="O34" s="266">
        <f>D190</f>
        <v>1000000</v>
      </c>
    </row>
    <row r="35" spans="1:15" ht="12.75" outlineLevel="1">
      <c r="A35" s="281" t="s">
        <v>122</v>
      </c>
      <c r="B35" s="282"/>
      <c r="C35" s="282">
        <f>C30</f>
        <v>18000000</v>
      </c>
      <c r="D35" s="282"/>
      <c r="E35" s="284"/>
      <c r="F35" s="285"/>
      <c r="G35" s="282"/>
      <c r="H35" s="286"/>
      <c r="I35" s="256"/>
      <c r="J35" s="256"/>
      <c r="M35" s="265">
        <v>2039</v>
      </c>
      <c r="N35" s="266">
        <f>F200</f>
        <v>104008.83561643836</v>
      </c>
      <c r="O35" s="266">
        <f>D200</f>
        <v>1000000</v>
      </c>
    </row>
    <row r="36" spans="1:15" ht="12.75" outlineLevel="1">
      <c r="A36" s="307">
        <v>45016</v>
      </c>
      <c r="B36" s="282">
        <f>A36-A29</f>
        <v>90</v>
      </c>
      <c r="C36" s="282">
        <f>C35-D36</f>
        <v>17750000</v>
      </c>
      <c r="D36" s="282">
        <v>250000</v>
      </c>
      <c r="E36" s="308">
        <f>$E$11+$E$12</f>
        <v>0.0641</v>
      </c>
      <c r="F36" s="784">
        <v>334839.45</v>
      </c>
      <c r="G36" s="282"/>
      <c r="H36" s="286"/>
      <c r="I36" s="256">
        <v>365</v>
      </c>
      <c r="J36" s="256"/>
      <c r="M36" s="265">
        <v>2040</v>
      </c>
      <c r="N36" s="266">
        <f>F210</f>
        <v>40084.45205479452</v>
      </c>
      <c r="O36" s="266">
        <f>D210</f>
        <v>1000000</v>
      </c>
    </row>
    <row r="37" spans="1:15" ht="12.75" outlineLevel="1">
      <c r="A37" s="307">
        <v>45107</v>
      </c>
      <c r="B37" s="282">
        <f>A37-A36</f>
        <v>91</v>
      </c>
      <c r="C37" s="282">
        <f>C36-D37</f>
        <v>17500000</v>
      </c>
      <c r="D37" s="282">
        <v>250000</v>
      </c>
      <c r="E37" s="308">
        <f>$E$11+$E$12</f>
        <v>0.0641</v>
      </c>
      <c r="F37" s="784">
        <v>331647.81</v>
      </c>
      <c r="G37" s="282"/>
      <c r="H37" s="286"/>
      <c r="I37" s="256">
        <v>365</v>
      </c>
      <c r="J37" s="256"/>
      <c r="M37" s="265">
        <v>2041</v>
      </c>
      <c r="N37" s="266">
        <f>F220</f>
        <v>0</v>
      </c>
      <c r="O37" s="266">
        <f>D220</f>
        <v>0</v>
      </c>
    </row>
    <row r="38" spans="1:15" ht="12.75" outlineLevel="1">
      <c r="A38" s="307">
        <v>45199</v>
      </c>
      <c r="B38" s="282">
        <f>A38-A37</f>
        <v>92</v>
      </c>
      <c r="C38" s="282">
        <f>C37-D38</f>
        <v>17250000</v>
      </c>
      <c r="D38" s="282">
        <v>250000</v>
      </c>
      <c r="E38" s="308">
        <f>$E$11+$E$12</f>
        <v>0.0641</v>
      </c>
      <c r="F38" s="784">
        <v>323730.82</v>
      </c>
      <c r="G38" s="282"/>
      <c r="H38" s="286"/>
      <c r="I38" s="256">
        <v>365</v>
      </c>
      <c r="J38" s="256"/>
      <c r="M38" s="265">
        <v>2042</v>
      </c>
      <c r="N38" s="266">
        <f>F230</f>
        <v>0</v>
      </c>
      <c r="O38" s="266">
        <f>D230</f>
        <v>0</v>
      </c>
    </row>
    <row r="39" spans="1:15" ht="12.75" outlineLevel="1">
      <c r="A39" s="307">
        <v>45291</v>
      </c>
      <c r="B39" s="282">
        <f>A39-A38</f>
        <v>92</v>
      </c>
      <c r="C39" s="282">
        <f>C38-D39</f>
        <v>17000000</v>
      </c>
      <c r="D39" s="282">
        <v>250000</v>
      </c>
      <c r="E39" s="308">
        <f>$E$11+$E$12</f>
        <v>0.0641</v>
      </c>
      <c r="F39" s="285">
        <f>B39*C38*E39/I39</f>
        <v>278703.2876712329</v>
      </c>
      <c r="G39" s="282"/>
      <c r="H39" s="286"/>
      <c r="I39" s="256">
        <v>365</v>
      </c>
      <c r="J39" s="256"/>
      <c r="M39" s="265" t="s">
        <v>42</v>
      </c>
      <c r="N39" s="306">
        <f>SUM(N18:N38)</f>
        <v>10672874.312876713</v>
      </c>
      <c r="O39" s="306">
        <f>SUM(O18:O38)</f>
        <v>18000000</v>
      </c>
    </row>
    <row r="40" spans="1:10" ht="12.75" outlineLevel="1">
      <c r="A40" s="309"/>
      <c r="B40" s="288"/>
      <c r="C40" s="288">
        <f>C39</f>
        <v>17000000</v>
      </c>
      <c r="D40" s="288">
        <f>SUM(D36:D39)</f>
        <v>1000000</v>
      </c>
      <c r="E40" s="289"/>
      <c r="F40" s="274">
        <f>SUM(F36:F39)</f>
        <v>1268921.367671233</v>
      </c>
      <c r="G40" s="288"/>
      <c r="H40" s="290"/>
      <c r="I40" s="256"/>
      <c r="J40" s="256"/>
    </row>
    <row r="41" spans="1:10" ht="12.75" outlineLevel="1">
      <c r="A41" s="291"/>
      <c r="B41" s="282"/>
      <c r="C41" s="282"/>
      <c r="D41" s="282"/>
      <c r="E41" s="284"/>
      <c r="F41" s="285"/>
      <c r="G41" s="282"/>
      <c r="H41" s="286"/>
      <c r="I41" s="256"/>
      <c r="J41" s="256"/>
    </row>
    <row r="42" spans="1:10" ht="12.75" outlineLevel="1">
      <c r="A42" s="864" t="s">
        <v>113</v>
      </c>
      <c r="B42" s="864"/>
      <c r="C42" s="864"/>
      <c r="D42" s="864"/>
      <c r="E42" s="864"/>
      <c r="F42" s="864"/>
      <c r="G42" s="864"/>
      <c r="H42" s="864"/>
      <c r="I42" s="256"/>
      <c r="J42" s="256"/>
    </row>
    <row r="43" spans="1:10" ht="12.75" outlineLevel="1">
      <c r="A43" s="271"/>
      <c r="B43" s="272"/>
      <c r="C43" s="272"/>
      <c r="D43" s="272"/>
      <c r="E43" s="273"/>
      <c r="F43" s="274"/>
      <c r="G43" s="272"/>
      <c r="H43" s="275"/>
      <c r="I43" s="256"/>
      <c r="J43" s="256"/>
    </row>
    <row r="44" spans="1:10" ht="22.5" outlineLevel="1">
      <c r="A44" s="276" t="s">
        <v>114</v>
      </c>
      <c r="B44" s="277" t="s">
        <v>115</v>
      </c>
      <c r="C44" s="277" t="s">
        <v>116</v>
      </c>
      <c r="D44" s="277" t="s">
        <v>117</v>
      </c>
      <c r="E44" s="278" t="s">
        <v>118</v>
      </c>
      <c r="F44" s="279" t="s">
        <v>48</v>
      </c>
      <c r="G44" s="277"/>
      <c r="H44" s="280"/>
      <c r="I44" s="256"/>
      <c r="J44" s="256"/>
    </row>
    <row r="45" spans="1:10" ht="12.75" outlineLevel="1">
      <c r="A45" s="281" t="s">
        <v>123</v>
      </c>
      <c r="B45" s="282"/>
      <c r="C45" s="282">
        <f>C40</f>
        <v>17000000</v>
      </c>
      <c r="D45" s="282"/>
      <c r="E45" s="284"/>
      <c r="F45" s="285"/>
      <c r="G45" s="282"/>
      <c r="H45" s="286"/>
      <c r="I45" s="256"/>
      <c r="J45" s="256"/>
    </row>
    <row r="46" spans="1:10" ht="12.75" outlineLevel="1">
      <c r="A46" s="307">
        <v>45382</v>
      </c>
      <c r="B46" s="282">
        <f>A46-A39</f>
        <v>91</v>
      </c>
      <c r="C46" s="282">
        <f>C45-D46</f>
        <v>16750000</v>
      </c>
      <c r="D46" s="282">
        <v>250000</v>
      </c>
      <c r="E46" s="308">
        <f>$E$11+$E$12</f>
        <v>0.0641</v>
      </c>
      <c r="F46" s="285">
        <f>B46*C45*E46/I46</f>
        <v>271678.6301369863</v>
      </c>
      <c r="G46" s="282"/>
      <c r="H46" s="286"/>
      <c r="I46" s="256">
        <v>365</v>
      </c>
      <c r="J46" s="256"/>
    </row>
    <row r="47" spans="1:10" ht="12.75" outlineLevel="1">
      <c r="A47" s="307">
        <v>45473</v>
      </c>
      <c r="B47" s="282">
        <f>A47-A46</f>
        <v>91</v>
      </c>
      <c r="C47" s="282">
        <f>C46-D47</f>
        <v>16500000</v>
      </c>
      <c r="D47" s="282">
        <v>250000</v>
      </c>
      <c r="E47" s="308">
        <f>$E$11+$E$12</f>
        <v>0.0641</v>
      </c>
      <c r="F47" s="285">
        <f>B47*C46*E47/I47</f>
        <v>267683.3561643836</v>
      </c>
      <c r="G47" s="282"/>
      <c r="H47" s="286"/>
      <c r="I47" s="256">
        <v>365</v>
      </c>
      <c r="J47" s="256"/>
    </row>
    <row r="48" spans="1:10" ht="12.75" outlineLevel="1">
      <c r="A48" s="307">
        <v>45565</v>
      </c>
      <c r="B48" s="282">
        <f>A48-A47</f>
        <v>92</v>
      </c>
      <c r="C48" s="282">
        <f>C47-D48</f>
        <v>16250000</v>
      </c>
      <c r="D48" s="282">
        <v>250000</v>
      </c>
      <c r="E48" s="308">
        <f>$E$11+$E$12</f>
        <v>0.0641</v>
      </c>
      <c r="F48" s="285">
        <f>B48*C47*E48/I48</f>
        <v>266585.7534246575</v>
      </c>
      <c r="G48" s="282"/>
      <c r="H48" s="286"/>
      <c r="I48" s="256">
        <v>365</v>
      </c>
      <c r="J48" s="256"/>
    </row>
    <row r="49" spans="1:10" ht="12.75" outlineLevel="1">
      <c r="A49" s="307">
        <v>45657</v>
      </c>
      <c r="B49" s="282">
        <f>A49-A48</f>
        <v>92</v>
      </c>
      <c r="C49" s="282">
        <f>C48-D49</f>
        <v>16000000</v>
      </c>
      <c r="D49" s="282">
        <v>250000</v>
      </c>
      <c r="E49" s="308">
        <f>$E$11+$E$12</f>
        <v>0.0641</v>
      </c>
      <c r="F49" s="285">
        <f>B49*C48*E49/I49</f>
        <v>262546.5753424658</v>
      </c>
      <c r="G49" s="282"/>
      <c r="H49" s="286"/>
      <c r="I49" s="256">
        <v>365</v>
      </c>
      <c r="J49" s="256"/>
    </row>
    <row r="50" spans="1:10" ht="12.75" outlineLevel="1">
      <c r="A50" s="309"/>
      <c r="B50" s="288"/>
      <c r="C50" s="288">
        <f>C49</f>
        <v>16000000</v>
      </c>
      <c r="D50" s="288">
        <f>SUM(D46:D49)</f>
        <v>1000000</v>
      </c>
      <c r="E50" s="289"/>
      <c r="F50" s="274">
        <f>SUM(F46:F49)</f>
        <v>1068494.3150684931</v>
      </c>
      <c r="G50" s="288"/>
      <c r="H50" s="290"/>
      <c r="I50" s="256"/>
      <c r="J50" s="256"/>
    </row>
    <row r="51" spans="1:10" ht="12.75" outlineLevel="1">
      <c r="A51" s="291"/>
      <c r="B51" s="282"/>
      <c r="C51" s="282"/>
      <c r="D51" s="282"/>
      <c r="E51" s="284"/>
      <c r="F51" s="285"/>
      <c r="G51" s="282"/>
      <c r="H51" s="282"/>
      <c r="I51" s="256"/>
      <c r="J51" s="256"/>
    </row>
    <row r="52" spans="1:10" ht="12.75" outlineLevel="1">
      <c r="A52" s="864" t="s">
        <v>113</v>
      </c>
      <c r="B52" s="864"/>
      <c r="C52" s="864"/>
      <c r="D52" s="864"/>
      <c r="E52" s="864"/>
      <c r="F52" s="864"/>
      <c r="G52" s="864"/>
      <c r="H52" s="864"/>
      <c r="I52" s="256"/>
      <c r="J52" s="256"/>
    </row>
    <row r="53" spans="1:10" ht="12.75" outlineLevel="1">
      <c r="A53" s="271"/>
      <c r="B53" s="272"/>
      <c r="C53" s="272"/>
      <c r="D53" s="272"/>
      <c r="E53" s="273"/>
      <c r="F53" s="274"/>
      <c r="G53" s="272"/>
      <c r="H53" s="275"/>
      <c r="I53" s="256"/>
      <c r="J53" s="256"/>
    </row>
    <row r="54" spans="1:10" ht="22.5" outlineLevel="1">
      <c r="A54" s="276" t="s">
        <v>114</v>
      </c>
      <c r="B54" s="277" t="s">
        <v>115</v>
      </c>
      <c r="C54" s="277" t="s">
        <v>116</v>
      </c>
      <c r="D54" s="277" t="s">
        <v>117</v>
      </c>
      <c r="E54" s="278" t="s">
        <v>118</v>
      </c>
      <c r="F54" s="279" t="s">
        <v>48</v>
      </c>
      <c r="G54" s="277"/>
      <c r="H54" s="280"/>
      <c r="I54" s="256"/>
      <c r="J54" s="256"/>
    </row>
    <row r="55" spans="1:10" ht="12.75" outlineLevel="1">
      <c r="A55" s="281" t="s">
        <v>207</v>
      </c>
      <c r="B55" s="282"/>
      <c r="C55" s="282">
        <f>C50</f>
        <v>16000000</v>
      </c>
      <c r="D55" s="282"/>
      <c r="E55" s="284"/>
      <c r="F55" s="285"/>
      <c r="G55" s="282"/>
      <c r="H55" s="286"/>
      <c r="I55" s="256"/>
      <c r="J55" s="256"/>
    </row>
    <row r="56" spans="1:10" ht="12.75" outlineLevel="1">
      <c r="A56" s="307">
        <v>45747</v>
      </c>
      <c r="B56" s="282">
        <v>90</v>
      </c>
      <c r="C56" s="282">
        <f>C55-D56</f>
        <v>15750000</v>
      </c>
      <c r="D56" s="282">
        <v>250000</v>
      </c>
      <c r="E56" s="308">
        <f>$E$11+$E$12</f>
        <v>0.0641</v>
      </c>
      <c r="F56" s="285">
        <f>B56*C55*E56/I56</f>
        <v>252887.67123287672</v>
      </c>
      <c r="G56" s="282"/>
      <c r="H56" s="286"/>
      <c r="I56" s="256">
        <v>365</v>
      </c>
      <c r="J56" s="256"/>
    </row>
    <row r="57" spans="1:10" ht="12.75" outlineLevel="1">
      <c r="A57" s="307">
        <v>45838</v>
      </c>
      <c r="B57" s="282">
        <f>A57-A56</f>
        <v>91</v>
      </c>
      <c r="C57" s="282">
        <f>C56-D57</f>
        <v>15500000</v>
      </c>
      <c r="D57" s="282">
        <v>250000</v>
      </c>
      <c r="E57" s="308">
        <f>$E$11+$E$12</f>
        <v>0.0641</v>
      </c>
      <c r="F57" s="285">
        <f>B57*C56*E57/I57</f>
        <v>251702.2602739726</v>
      </c>
      <c r="G57" s="282"/>
      <c r="H57" s="286"/>
      <c r="I57" s="256">
        <v>365</v>
      </c>
      <c r="J57" s="256"/>
    </row>
    <row r="58" spans="1:10" ht="12.75" outlineLevel="1">
      <c r="A58" s="307">
        <v>45930</v>
      </c>
      <c r="B58" s="282">
        <f>A58-A57</f>
        <v>92</v>
      </c>
      <c r="C58" s="282">
        <f>C57-D58</f>
        <v>15250000</v>
      </c>
      <c r="D58" s="282">
        <v>250000</v>
      </c>
      <c r="E58" s="308">
        <f>$E$11+$E$12</f>
        <v>0.0641</v>
      </c>
      <c r="F58" s="285">
        <f>B58*C57*E58/I58</f>
        <v>250429.04109589042</v>
      </c>
      <c r="G58" s="282"/>
      <c r="H58" s="286"/>
      <c r="I58" s="256">
        <v>365</v>
      </c>
      <c r="J58" s="256"/>
    </row>
    <row r="59" spans="1:10" ht="12.75" outlineLevel="1">
      <c r="A59" s="307">
        <v>46022</v>
      </c>
      <c r="B59" s="282">
        <f>A59-A58</f>
        <v>92</v>
      </c>
      <c r="C59" s="282">
        <f>C58-D59</f>
        <v>15000000</v>
      </c>
      <c r="D59" s="282">
        <v>250000</v>
      </c>
      <c r="E59" s="308">
        <f>$E$11+$E$12</f>
        <v>0.0641</v>
      </c>
      <c r="F59" s="285">
        <f>B59*C58*E59/I59</f>
        <v>246389.86301369863</v>
      </c>
      <c r="G59" s="282"/>
      <c r="H59" s="286"/>
      <c r="I59" s="256">
        <v>365</v>
      </c>
      <c r="J59" s="256"/>
    </row>
    <row r="60" spans="1:10" ht="12.75" outlineLevel="1">
      <c r="A60" s="309"/>
      <c r="B60" s="288"/>
      <c r="C60" s="288">
        <f>C59</f>
        <v>15000000</v>
      </c>
      <c r="D60" s="288">
        <f>SUM(D56:D59)</f>
        <v>1000000</v>
      </c>
      <c r="E60" s="289"/>
      <c r="F60" s="274">
        <f>SUM(F56:F59)</f>
        <v>1001408.8356164384</v>
      </c>
      <c r="G60" s="288"/>
      <c r="H60" s="290"/>
      <c r="I60" s="256"/>
      <c r="J60" s="256"/>
    </row>
    <row r="61" spans="1:10" ht="12.75" outlineLevel="1">
      <c r="A61" s="291"/>
      <c r="B61" s="282"/>
      <c r="C61" s="282"/>
      <c r="D61" s="282"/>
      <c r="E61" s="284"/>
      <c r="F61" s="285"/>
      <c r="G61" s="282"/>
      <c r="H61" s="282"/>
      <c r="I61" s="256"/>
      <c r="J61" s="256"/>
    </row>
    <row r="62" spans="1:10" ht="12.75" outlineLevel="1">
      <c r="A62" s="864" t="s">
        <v>113</v>
      </c>
      <c r="B62" s="864"/>
      <c r="C62" s="864"/>
      <c r="D62" s="864"/>
      <c r="E62" s="864"/>
      <c r="F62" s="864"/>
      <c r="G62" s="864"/>
      <c r="H62" s="864"/>
      <c r="I62" s="256"/>
      <c r="J62" s="256"/>
    </row>
    <row r="63" spans="1:10" ht="12.75" outlineLevel="1">
      <c r="A63" s="271"/>
      <c r="B63" s="272"/>
      <c r="C63" s="272"/>
      <c r="D63" s="272"/>
      <c r="E63" s="273"/>
      <c r="F63" s="274"/>
      <c r="G63" s="272"/>
      <c r="H63" s="275"/>
      <c r="I63" s="256"/>
      <c r="J63" s="256"/>
    </row>
    <row r="64" spans="1:10" ht="22.5" outlineLevel="1">
      <c r="A64" s="276" t="s">
        <v>114</v>
      </c>
      <c r="B64" s="277" t="s">
        <v>115</v>
      </c>
      <c r="C64" s="277" t="s">
        <v>116</v>
      </c>
      <c r="D64" s="277" t="s">
        <v>117</v>
      </c>
      <c r="E64" s="278" t="s">
        <v>118</v>
      </c>
      <c r="F64" s="279" t="s">
        <v>48</v>
      </c>
      <c r="G64" s="277"/>
      <c r="H64" s="280"/>
      <c r="I64" s="256"/>
      <c r="J64" s="256"/>
    </row>
    <row r="65" spans="1:10" ht="12.75" outlineLevel="1">
      <c r="A65" s="281" t="s">
        <v>125</v>
      </c>
      <c r="B65" s="282"/>
      <c r="C65" s="282">
        <f>C60</f>
        <v>15000000</v>
      </c>
      <c r="D65" s="282"/>
      <c r="E65" s="284"/>
      <c r="F65" s="285"/>
      <c r="G65" s="282"/>
      <c r="H65" s="286"/>
      <c r="I65" s="256"/>
      <c r="J65" s="256"/>
    </row>
    <row r="66" spans="1:10" ht="12.75" outlineLevel="1">
      <c r="A66" s="307">
        <v>46112</v>
      </c>
      <c r="B66" s="282">
        <f>A66-A59</f>
        <v>90</v>
      </c>
      <c r="C66" s="282">
        <f>C65-D66</f>
        <v>14750000</v>
      </c>
      <c r="D66" s="282">
        <v>250000</v>
      </c>
      <c r="E66" s="308">
        <f>$E$11+$E$12</f>
        <v>0.0641</v>
      </c>
      <c r="F66" s="285">
        <f>B66*C65*E66/I66</f>
        <v>237082.19178082192</v>
      </c>
      <c r="G66" s="282"/>
      <c r="H66" s="286"/>
      <c r="I66" s="256">
        <v>365</v>
      </c>
      <c r="J66" s="256"/>
    </row>
    <row r="67" spans="1:10" ht="12.75" outlineLevel="1">
      <c r="A67" s="307">
        <v>46203</v>
      </c>
      <c r="B67" s="282">
        <f>A67-A66</f>
        <v>91</v>
      </c>
      <c r="C67" s="282">
        <f>C66-D67</f>
        <v>14500000</v>
      </c>
      <c r="D67" s="282">
        <v>250000</v>
      </c>
      <c r="E67" s="308">
        <f>$E$11+$E$12</f>
        <v>0.0641</v>
      </c>
      <c r="F67" s="285">
        <f>B67*C66*E67/I67</f>
        <v>235721.16438356164</v>
      </c>
      <c r="G67" s="282"/>
      <c r="H67" s="286"/>
      <c r="I67" s="256">
        <v>365</v>
      </c>
      <c r="J67" s="256"/>
    </row>
    <row r="68" spans="1:10" ht="12.75" outlineLevel="1">
      <c r="A68" s="307">
        <v>46295</v>
      </c>
      <c r="B68" s="282">
        <f>A68-A67</f>
        <v>92</v>
      </c>
      <c r="C68" s="282">
        <f>C67-D68</f>
        <v>14250000</v>
      </c>
      <c r="D68" s="282">
        <v>250000</v>
      </c>
      <c r="E68" s="308">
        <f>$E$11+$E$12</f>
        <v>0.0641</v>
      </c>
      <c r="F68" s="285">
        <f>B68*C67*E68/I68</f>
        <v>234272.32876712328</v>
      </c>
      <c r="G68" s="282"/>
      <c r="H68" s="286"/>
      <c r="I68" s="256">
        <v>365</v>
      </c>
      <c r="J68" s="256"/>
    </row>
    <row r="69" spans="1:10" ht="12.75" outlineLevel="1">
      <c r="A69" s="307">
        <v>46387</v>
      </c>
      <c r="B69" s="282">
        <f>A69-A68</f>
        <v>92</v>
      </c>
      <c r="C69" s="282">
        <f>C68-D69</f>
        <v>14000000</v>
      </c>
      <c r="D69" s="282">
        <v>250000</v>
      </c>
      <c r="E69" s="308">
        <f>$E$11+$E$12</f>
        <v>0.0641</v>
      </c>
      <c r="F69" s="285">
        <f>B69*C68*E69/I69</f>
        <v>230233.15068493152</v>
      </c>
      <c r="G69" s="282"/>
      <c r="H69" s="286"/>
      <c r="I69" s="256">
        <v>365</v>
      </c>
      <c r="J69" s="256"/>
    </row>
    <row r="70" spans="1:10" ht="12.75" outlineLevel="1">
      <c r="A70" s="309"/>
      <c r="B70" s="288"/>
      <c r="C70" s="288">
        <f>C69</f>
        <v>14000000</v>
      </c>
      <c r="D70" s="288">
        <f>SUM(D66:D69)</f>
        <v>1000000</v>
      </c>
      <c r="E70" s="289"/>
      <c r="F70" s="274">
        <f>SUM(F66:F69)</f>
        <v>937308.8356164384</v>
      </c>
      <c r="G70" s="288"/>
      <c r="H70" s="290"/>
      <c r="I70" s="256"/>
      <c r="J70" s="256"/>
    </row>
    <row r="71" spans="1:10" ht="12.75" outlineLevel="1">
      <c r="A71" s="291"/>
      <c r="B71" s="282"/>
      <c r="C71" s="282"/>
      <c r="D71" s="282"/>
      <c r="E71" s="284"/>
      <c r="F71" s="285"/>
      <c r="G71" s="282"/>
      <c r="H71" s="282"/>
      <c r="I71" s="256"/>
      <c r="J71" s="256"/>
    </row>
    <row r="72" spans="1:10" ht="12.75" outlineLevel="1">
      <c r="A72" s="864" t="s">
        <v>113</v>
      </c>
      <c r="B72" s="864"/>
      <c r="C72" s="864"/>
      <c r="D72" s="864"/>
      <c r="E72" s="864"/>
      <c r="F72" s="864"/>
      <c r="G72" s="864"/>
      <c r="H72" s="864"/>
      <c r="I72" s="256"/>
      <c r="J72" s="256"/>
    </row>
    <row r="73" spans="1:10" ht="12.75" outlineLevel="1">
      <c r="A73" s="271"/>
      <c r="B73" s="272"/>
      <c r="C73" s="272"/>
      <c r="D73" s="272"/>
      <c r="E73" s="273"/>
      <c r="F73" s="274"/>
      <c r="G73" s="272"/>
      <c r="H73" s="275"/>
      <c r="I73" s="256"/>
      <c r="J73" s="256"/>
    </row>
    <row r="74" spans="1:10" ht="22.5" outlineLevel="1">
      <c r="A74" s="276" t="s">
        <v>114</v>
      </c>
      <c r="B74" s="277" t="s">
        <v>115</v>
      </c>
      <c r="C74" s="277" t="s">
        <v>116</v>
      </c>
      <c r="D74" s="277" t="s">
        <v>117</v>
      </c>
      <c r="E74" s="278" t="s">
        <v>118</v>
      </c>
      <c r="F74" s="279" t="s">
        <v>48</v>
      </c>
      <c r="G74" s="277"/>
      <c r="H74" s="280"/>
      <c r="I74" s="256"/>
      <c r="J74" s="256"/>
    </row>
    <row r="75" spans="1:10" ht="12.75" outlineLevel="1">
      <c r="A75" s="281" t="s">
        <v>126</v>
      </c>
      <c r="B75" s="282"/>
      <c r="C75" s="282">
        <f>C70</f>
        <v>14000000</v>
      </c>
      <c r="D75" s="282"/>
      <c r="E75" s="284"/>
      <c r="F75" s="285"/>
      <c r="G75" s="282"/>
      <c r="H75" s="286"/>
      <c r="I75" s="256"/>
      <c r="J75" s="256"/>
    </row>
    <row r="76" spans="1:10" ht="12.75" outlineLevel="1">
      <c r="A76" s="307">
        <v>46477</v>
      </c>
      <c r="B76" s="282">
        <f>A76-A69</f>
        <v>90</v>
      </c>
      <c r="C76" s="282">
        <f>C75-D76</f>
        <v>13750000</v>
      </c>
      <c r="D76" s="282">
        <v>250000</v>
      </c>
      <c r="E76" s="308">
        <f>$E$11+$E$12</f>
        <v>0.0641</v>
      </c>
      <c r="F76" s="285">
        <f>B76*C75*E76/I76</f>
        <v>221276.7123287671</v>
      </c>
      <c r="G76" s="282"/>
      <c r="H76" s="286"/>
      <c r="I76" s="256">
        <v>365</v>
      </c>
      <c r="J76" s="256"/>
    </row>
    <row r="77" spans="1:10" ht="12.75" outlineLevel="1">
      <c r="A77" s="307">
        <v>46568</v>
      </c>
      <c r="B77" s="282">
        <f>A77-A76</f>
        <v>91</v>
      </c>
      <c r="C77" s="282">
        <f>C76-D77</f>
        <v>13500000</v>
      </c>
      <c r="D77" s="282">
        <v>250000</v>
      </c>
      <c r="E77" s="308">
        <f>$E$11+$E$12</f>
        <v>0.0641</v>
      </c>
      <c r="F77" s="285">
        <f>B77*C76*E77/I77</f>
        <v>219740.0684931507</v>
      </c>
      <c r="G77" s="282"/>
      <c r="H77" s="286"/>
      <c r="I77" s="256">
        <v>365</v>
      </c>
      <c r="J77" s="256"/>
    </row>
    <row r="78" spans="1:10" ht="12.75" outlineLevel="1">
      <c r="A78" s="307">
        <v>46660</v>
      </c>
      <c r="B78" s="282">
        <f>A78-A77</f>
        <v>92</v>
      </c>
      <c r="C78" s="282">
        <f>C77-D78</f>
        <v>13250000</v>
      </c>
      <c r="D78" s="282">
        <v>250000</v>
      </c>
      <c r="E78" s="308">
        <f>$E$11+$E$12</f>
        <v>0.0641</v>
      </c>
      <c r="F78" s="285">
        <f>B78*C77*E78/I78</f>
        <v>218115.61643835617</v>
      </c>
      <c r="G78" s="282"/>
      <c r="H78" s="286"/>
      <c r="I78" s="256">
        <v>365</v>
      </c>
      <c r="J78" s="256"/>
    </row>
    <row r="79" spans="1:10" ht="12.75" outlineLevel="1">
      <c r="A79" s="307">
        <v>46752</v>
      </c>
      <c r="B79" s="282">
        <f>A79-A78</f>
        <v>92</v>
      </c>
      <c r="C79" s="282">
        <f>C78-D79</f>
        <v>13000000</v>
      </c>
      <c r="D79" s="282">
        <v>250000</v>
      </c>
      <c r="E79" s="308">
        <f>$E$11+$E$12</f>
        <v>0.0641</v>
      </c>
      <c r="F79" s="285">
        <f>B79*C78*E79/I79</f>
        <v>214076.43835616438</v>
      </c>
      <c r="G79" s="282"/>
      <c r="H79" s="286"/>
      <c r="I79" s="256">
        <v>365</v>
      </c>
      <c r="J79" s="256"/>
    </row>
    <row r="80" spans="1:10" ht="12.75" outlineLevel="1">
      <c r="A80" s="309"/>
      <c r="B80" s="288"/>
      <c r="C80" s="288">
        <f>C79</f>
        <v>13000000</v>
      </c>
      <c r="D80" s="288">
        <f>SUM(D76:D79)</f>
        <v>1000000</v>
      </c>
      <c r="E80" s="289"/>
      <c r="F80" s="274">
        <f>SUM(F76:F79)</f>
        <v>873208.8356164384</v>
      </c>
      <c r="G80" s="288"/>
      <c r="H80" s="290"/>
      <c r="I80" s="256"/>
      <c r="J80" s="256"/>
    </row>
    <row r="81" spans="1:10" ht="12.75" outlineLevel="1">
      <c r="A81" s="291"/>
      <c r="B81" s="282"/>
      <c r="C81" s="282"/>
      <c r="D81" s="282"/>
      <c r="E81" s="284"/>
      <c r="F81" s="285"/>
      <c r="G81" s="282"/>
      <c r="H81" s="282"/>
      <c r="I81" s="256"/>
      <c r="J81" s="256"/>
    </row>
    <row r="82" spans="1:10" ht="12.75" outlineLevel="1">
      <c r="A82" s="864" t="s">
        <v>113</v>
      </c>
      <c r="B82" s="864"/>
      <c r="C82" s="864"/>
      <c r="D82" s="864"/>
      <c r="E82" s="864"/>
      <c r="F82" s="864"/>
      <c r="G82" s="864"/>
      <c r="H82" s="864"/>
      <c r="I82" s="256"/>
      <c r="J82" s="256"/>
    </row>
    <row r="83" spans="1:10" ht="12.75" outlineLevel="1">
      <c r="A83" s="271"/>
      <c r="B83" s="272"/>
      <c r="C83" s="272"/>
      <c r="D83" s="272"/>
      <c r="E83" s="273"/>
      <c r="F83" s="274"/>
      <c r="G83" s="272"/>
      <c r="H83" s="275"/>
      <c r="I83" s="256"/>
      <c r="J83" s="256"/>
    </row>
    <row r="84" spans="1:10" ht="22.5" outlineLevel="1">
      <c r="A84" s="276" t="s">
        <v>114</v>
      </c>
      <c r="B84" s="277" t="s">
        <v>115</v>
      </c>
      <c r="C84" s="277" t="s">
        <v>116</v>
      </c>
      <c r="D84" s="277" t="s">
        <v>117</v>
      </c>
      <c r="E84" s="278" t="s">
        <v>118</v>
      </c>
      <c r="F84" s="279" t="s">
        <v>48</v>
      </c>
      <c r="G84" s="277"/>
      <c r="H84" s="280"/>
      <c r="I84" s="256"/>
      <c r="J84" s="256"/>
    </row>
    <row r="85" spans="1:10" ht="12.75" outlineLevel="1">
      <c r="A85" s="281" t="s">
        <v>127</v>
      </c>
      <c r="B85" s="282"/>
      <c r="C85" s="282">
        <f>C80</f>
        <v>13000000</v>
      </c>
      <c r="D85" s="282"/>
      <c r="E85" s="284"/>
      <c r="F85" s="285"/>
      <c r="G85" s="282"/>
      <c r="H85" s="286"/>
      <c r="I85" s="256"/>
      <c r="J85" s="256"/>
    </row>
    <row r="86" spans="1:10" ht="12.75" outlineLevel="1">
      <c r="A86" s="307">
        <v>46843</v>
      </c>
      <c r="B86" s="282">
        <f>A86-A79</f>
        <v>91</v>
      </c>
      <c r="C86" s="282">
        <f>C85-D86</f>
        <v>12750000</v>
      </c>
      <c r="D86" s="282">
        <v>250000</v>
      </c>
      <c r="E86" s="308">
        <f>$E$11+$E$12</f>
        <v>0.0641</v>
      </c>
      <c r="F86" s="285">
        <f>B86*C85*E86/I86</f>
        <v>207754.24657534246</v>
      </c>
      <c r="G86" s="282"/>
      <c r="H86" s="286"/>
      <c r="I86" s="256">
        <v>365</v>
      </c>
      <c r="J86" s="256"/>
    </row>
    <row r="87" spans="1:10" ht="12.75" outlineLevel="1">
      <c r="A87" s="307">
        <v>46934</v>
      </c>
      <c r="B87" s="282">
        <f>A87-A86</f>
        <v>91</v>
      </c>
      <c r="C87" s="282">
        <f>C86-D87</f>
        <v>12500000</v>
      </c>
      <c r="D87" s="282">
        <v>250000</v>
      </c>
      <c r="E87" s="308">
        <f>$E$11+$E$12</f>
        <v>0.0641</v>
      </c>
      <c r="F87" s="285">
        <f>B87*C86*E87/I87</f>
        <v>203758.97260273973</v>
      </c>
      <c r="G87" s="282"/>
      <c r="H87" s="286"/>
      <c r="I87" s="256">
        <v>365</v>
      </c>
      <c r="J87" s="256"/>
    </row>
    <row r="88" spans="1:10" ht="12.75" outlineLevel="1">
      <c r="A88" s="307">
        <v>47026</v>
      </c>
      <c r="B88" s="282">
        <f>A88-A87</f>
        <v>92</v>
      </c>
      <c r="C88" s="282">
        <f>C87-D88</f>
        <v>12250000</v>
      </c>
      <c r="D88" s="282">
        <v>250000</v>
      </c>
      <c r="E88" s="308">
        <f>$E$11+$E$12</f>
        <v>0.0641</v>
      </c>
      <c r="F88" s="285">
        <f>B88*C87*E88/I88</f>
        <v>201958.90410958903</v>
      </c>
      <c r="G88" s="282"/>
      <c r="H88" s="286"/>
      <c r="I88" s="256">
        <v>365</v>
      </c>
      <c r="J88" s="256"/>
    </row>
    <row r="89" spans="1:10" ht="12.75" outlineLevel="1">
      <c r="A89" s="307">
        <v>47118</v>
      </c>
      <c r="B89" s="282">
        <f>A89-A88</f>
        <v>92</v>
      </c>
      <c r="C89" s="282">
        <f>C88-D89</f>
        <v>12000000</v>
      </c>
      <c r="D89" s="282">
        <v>250000</v>
      </c>
      <c r="E89" s="308">
        <f>$E$11+$E$12</f>
        <v>0.0641</v>
      </c>
      <c r="F89" s="285">
        <f>B89*C88*E89/I89</f>
        <v>197919.72602739726</v>
      </c>
      <c r="G89" s="282"/>
      <c r="H89" s="286"/>
      <c r="I89" s="256">
        <v>365</v>
      </c>
      <c r="J89" s="256"/>
    </row>
    <row r="90" spans="1:10" ht="12.75" outlineLevel="1">
      <c r="A90" s="309"/>
      <c r="B90" s="288"/>
      <c r="C90" s="288">
        <f>C89</f>
        <v>12000000</v>
      </c>
      <c r="D90" s="288">
        <f>SUM(D86:D89)</f>
        <v>1000000</v>
      </c>
      <c r="E90" s="289"/>
      <c r="F90" s="274">
        <f>SUM(F86:F89)</f>
        <v>811391.8493150685</v>
      </c>
      <c r="G90" s="288"/>
      <c r="H90" s="290"/>
      <c r="I90" s="256"/>
      <c r="J90" s="256"/>
    </row>
    <row r="91" spans="1:10" ht="12.75" outlineLevel="1">
      <c r="A91" s="291"/>
      <c r="B91" s="282"/>
      <c r="C91" s="282"/>
      <c r="D91" s="282"/>
      <c r="E91" s="284"/>
      <c r="F91" s="285"/>
      <c r="G91" s="282"/>
      <c r="H91" s="282"/>
      <c r="I91" s="256"/>
      <c r="J91" s="256"/>
    </row>
    <row r="92" spans="1:10" ht="12.75" outlineLevel="1">
      <c r="A92" s="864" t="s">
        <v>113</v>
      </c>
      <c r="B92" s="864"/>
      <c r="C92" s="864"/>
      <c r="D92" s="864"/>
      <c r="E92" s="864"/>
      <c r="F92" s="864"/>
      <c r="G92" s="864"/>
      <c r="H92" s="864"/>
      <c r="I92" s="256"/>
      <c r="J92" s="256"/>
    </row>
    <row r="93" spans="1:10" ht="12.75" outlineLevel="1">
      <c r="A93" s="271"/>
      <c r="B93" s="272"/>
      <c r="C93" s="272"/>
      <c r="D93" s="272"/>
      <c r="E93" s="273"/>
      <c r="F93" s="274"/>
      <c r="G93" s="272"/>
      <c r="H93" s="275"/>
      <c r="I93" s="256"/>
      <c r="J93" s="256"/>
    </row>
    <row r="94" spans="1:10" ht="22.5" outlineLevel="1">
      <c r="A94" s="276" t="s">
        <v>114</v>
      </c>
      <c r="B94" s="277" t="s">
        <v>115</v>
      </c>
      <c r="C94" s="277" t="s">
        <v>116</v>
      </c>
      <c r="D94" s="277" t="s">
        <v>117</v>
      </c>
      <c r="E94" s="278" t="s">
        <v>118</v>
      </c>
      <c r="F94" s="279" t="s">
        <v>48</v>
      </c>
      <c r="G94" s="277"/>
      <c r="H94" s="280"/>
      <c r="I94" s="256"/>
      <c r="J94" s="256"/>
    </row>
    <row r="95" spans="1:10" ht="12.75" outlineLevel="1">
      <c r="A95" s="281" t="s">
        <v>128</v>
      </c>
      <c r="B95" s="282"/>
      <c r="C95" s="282">
        <f>C90</f>
        <v>12000000</v>
      </c>
      <c r="D95" s="282"/>
      <c r="E95" s="284"/>
      <c r="F95" s="285"/>
      <c r="G95" s="282"/>
      <c r="H95" s="286"/>
      <c r="I95" s="256"/>
      <c r="J95" s="256"/>
    </row>
    <row r="96" spans="1:10" ht="12.75" outlineLevel="1">
      <c r="A96" s="307">
        <v>47208</v>
      </c>
      <c r="B96" s="282">
        <v>90</v>
      </c>
      <c r="C96" s="282">
        <f>C95-D96</f>
        <v>11750000</v>
      </c>
      <c r="D96" s="282">
        <v>250000</v>
      </c>
      <c r="E96" s="308">
        <f>$E$11+$E$12</f>
        <v>0.0641</v>
      </c>
      <c r="F96" s="285">
        <f>B96*C95*E96/I96</f>
        <v>189665.75342465754</v>
      </c>
      <c r="G96" s="282"/>
      <c r="H96" s="286"/>
      <c r="I96" s="256">
        <v>365</v>
      </c>
      <c r="J96" s="256"/>
    </row>
    <row r="97" spans="1:10" ht="12.75" outlineLevel="1">
      <c r="A97" s="307">
        <v>47299</v>
      </c>
      <c r="B97" s="282">
        <f>A97-A96</f>
        <v>91</v>
      </c>
      <c r="C97" s="282">
        <f>C96-D97</f>
        <v>11500000</v>
      </c>
      <c r="D97" s="282">
        <v>250000</v>
      </c>
      <c r="E97" s="308">
        <f>$E$11+$E$12</f>
        <v>0.0641</v>
      </c>
      <c r="F97" s="285">
        <f>B97*C96*E97/I97</f>
        <v>187777.87671232875</v>
      </c>
      <c r="G97" s="282"/>
      <c r="H97" s="286"/>
      <c r="I97" s="256">
        <v>365</v>
      </c>
      <c r="J97" s="256"/>
    </row>
    <row r="98" spans="1:10" ht="12.75" outlineLevel="1">
      <c r="A98" s="307">
        <v>47391</v>
      </c>
      <c r="B98" s="282">
        <f>A98-A97</f>
        <v>92</v>
      </c>
      <c r="C98" s="282">
        <f>C97-D98</f>
        <v>11250000</v>
      </c>
      <c r="D98" s="282">
        <v>250000</v>
      </c>
      <c r="E98" s="308">
        <f>$E$11+$E$12</f>
        <v>0.0641</v>
      </c>
      <c r="F98" s="285">
        <f>B98*C97*E98/I98</f>
        <v>185802.19178082192</v>
      </c>
      <c r="G98" s="282"/>
      <c r="H98" s="286"/>
      <c r="I98" s="256">
        <v>365</v>
      </c>
      <c r="J98" s="256"/>
    </row>
    <row r="99" spans="1:10" ht="12.75" outlineLevel="1">
      <c r="A99" s="307">
        <v>47483</v>
      </c>
      <c r="B99" s="282">
        <f>A99-A98</f>
        <v>92</v>
      </c>
      <c r="C99" s="282">
        <f>C98-D99</f>
        <v>11000000</v>
      </c>
      <c r="D99" s="282">
        <v>250000</v>
      </c>
      <c r="E99" s="308">
        <f>$E$11+$E$12</f>
        <v>0.0641</v>
      </c>
      <c r="F99" s="285">
        <f>B99*C98*E99/I99</f>
        <v>181763.01369863015</v>
      </c>
      <c r="G99" s="282"/>
      <c r="H99" s="286"/>
      <c r="I99" s="256">
        <v>365</v>
      </c>
      <c r="J99" s="256"/>
    </row>
    <row r="100" spans="1:10" ht="12.75" outlineLevel="1">
      <c r="A100" s="309"/>
      <c r="B100" s="288"/>
      <c r="C100" s="288">
        <f>C99</f>
        <v>11000000</v>
      </c>
      <c r="D100" s="288">
        <f>SUM(D96:D99)</f>
        <v>1000000</v>
      </c>
      <c r="E100" s="289"/>
      <c r="F100" s="274">
        <f>SUM(F96:F99)</f>
        <v>745008.8356164383</v>
      </c>
      <c r="G100" s="288"/>
      <c r="H100" s="290"/>
      <c r="I100" s="256"/>
      <c r="J100" s="256"/>
    </row>
    <row r="101" spans="1:10" ht="12.75" outlineLevel="1">
      <c r="A101" s="291"/>
      <c r="B101" s="282"/>
      <c r="C101" s="282"/>
      <c r="D101" s="282"/>
      <c r="E101" s="284"/>
      <c r="F101" s="285"/>
      <c r="G101" s="282"/>
      <c r="H101" s="282"/>
      <c r="I101" s="256"/>
      <c r="J101" s="256"/>
    </row>
    <row r="102" spans="1:10" ht="12.75" outlineLevel="1">
      <c r="A102" s="864" t="s">
        <v>113</v>
      </c>
      <c r="B102" s="864"/>
      <c r="C102" s="864"/>
      <c r="D102" s="864"/>
      <c r="E102" s="864"/>
      <c r="F102" s="864"/>
      <c r="G102" s="864"/>
      <c r="H102" s="864"/>
      <c r="I102" s="256"/>
      <c r="J102" s="256"/>
    </row>
    <row r="103" spans="1:10" ht="12.75" outlineLevel="1">
      <c r="A103" s="271"/>
      <c r="B103" s="272"/>
      <c r="C103" s="272"/>
      <c r="D103" s="272"/>
      <c r="E103" s="273"/>
      <c r="F103" s="274"/>
      <c r="G103" s="272"/>
      <c r="H103" s="275"/>
      <c r="I103" s="256"/>
      <c r="J103" s="256"/>
    </row>
    <row r="104" spans="1:10" ht="22.5" outlineLevel="1">
      <c r="A104" s="276" t="s">
        <v>114</v>
      </c>
      <c r="B104" s="277" t="s">
        <v>115</v>
      </c>
      <c r="C104" s="277" t="s">
        <v>116</v>
      </c>
      <c r="D104" s="277" t="s">
        <v>117</v>
      </c>
      <c r="E104" s="278" t="s">
        <v>118</v>
      </c>
      <c r="F104" s="279" t="s">
        <v>48</v>
      </c>
      <c r="G104" s="277"/>
      <c r="H104" s="280"/>
      <c r="I104" s="256"/>
      <c r="J104" s="256"/>
    </row>
    <row r="105" spans="1:10" ht="12.75" outlineLevel="1">
      <c r="A105" s="281" t="s">
        <v>208</v>
      </c>
      <c r="B105" s="282"/>
      <c r="C105" s="282">
        <f>C100</f>
        <v>11000000</v>
      </c>
      <c r="D105" s="282"/>
      <c r="E105" s="284"/>
      <c r="F105" s="285"/>
      <c r="G105" s="282"/>
      <c r="H105" s="286"/>
      <c r="I105" s="256"/>
      <c r="J105" s="256"/>
    </row>
    <row r="106" spans="1:10" ht="12.75" outlineLevel="1">
      <c r="A106" s="307">
        <v>47573</v>
      </c>
      <c r="B106" s="282">
        <f>A106-A99</f>
        <v>90</v>
      </c>
      <c r="C106" s="282">
        <f>C105-D106</f>
        <v>10750000</v>
      </c>
      <c r="D106" s="282">
        <v>250000</v>
      </c>
      <c r="E106" s="308">
        <f>$E$11+$E$12</f>
        <v>0.0641</v>
      </c>
      <c r="F106" s="285">
        <f>B106*C105*E106/I106</f>
        <v>173860.27397260276</v>
      </c>
      <c r="G106" s="282"/>
      <c r="H106" s="286"/>
      <c r="I106" s="256">
        <v>365</v>
      </c>
      <c r="J106" s="256"/>
    </row>
    <row r="107" spans="1:10" ht="12.75" outlineLevel="1">
      <c r="A107" s="307">
        <v>47664</v>
      </c>
      <c r="B107" s="282">
        <f>A107-A106</f>
        <v>91</v>
      </c>
      <c r="C107" s="282">
        <f>C106-D107</f>
        <v>10500000</v>
      </c>
      <c r="D107" s="282">
        <v>250000</v>
      </c>
      <c r="E107" s="308">
        <f>$E$11+$E$12</f>
        <v>0.0641</v>
      </c>
      <c r="F107" s="285">
        <f>B107*C106*E107/I107</f>
        <v>171796.78082191784</v>
      </c>
      <c r="G107" s="282"/>
      <c r="H107" s="286"/>
      <c r="I107" s="256">
        <v>365</v>
      </c>
      <c r="J107" s="256"/>
    </row>
    <row r="108" spans="1:10" ht="12.75" outlineLevel="1">
      <c r="A108" s="307">
        <v>47756</v>
      </c>
      <c r="B108" s="282">
        <f>A108-A107</f>
        <v>92</v>
      </c>
      <c r="C108" s="282">
        <f>C107-D108</f>
        <v>10250000</v>
      </c>
      <c r="D108" s="282">
        <v>250000</v>
      </c>
      <c r="E108" s="308">
        <f>$E$11+$E$12</f>
        <v>0.0641</v>
      </c>
      <c r="F108" s="285">
        <f>B108*C107*E108/I108</f>
        <v>169645.4794520548</v>
      </c>
      <c r="G108" s="282"/>
      <c r="H108" s="286"/>
      <c r="I108" s="256">
        <v>365</v>
      </c>
      <c r="J108" s="256"/>
    </row>
    <row r="109" spans="1:10" ht="12.75" outlineLevel="1">
      <c r="A109" s="307">
        <v>47848</v>
      </c>
      <c r="B109" s="282">
        <f>A109-A108</f>
        <v>92</v>
      </c>
      <c r="C109" s="282">
        <f>C108-D109</f>
        <v>10000000</v>
      </c>
      <c r="D109" s="282">
        <v>250000</v>
      </c>
      <c r="E109" s="308">
        <f>$E$11+$E$12</f>
        <v>0.0641</v>
      </c>
      <c r="F109" s="285">
        <f>B109*C108*E109/I109</f>
        <v>165606.30136986304</v>
      </c>
      <c r="G109" s="282"/>
      <c r="H109" s="286"/>
      <c r="I109" s="256">
        <v>365</v>
      </c>
      <c r="J109" s="256"/>
    </row>
    <row r="110" spans="1:10" ht="12.75" outlineLevel="1">
      <c r="A110" s="309"/>
      <c r="B110" s="288"/>
      <c r="C110" s="288">
        <f>C109</f>
        <v>10000000</v>
      </c>
      <c r="D110" s="288">
        <f>SUM(D106:D109)</f>
        <v>1000000</v>
      </c>
      <c r="E110" s="289"/>
      <c r="F110" s="274">
        <f>SUM(F106:F109)</f>
        <v>680908.8356164384</v>
      </c>
      <c r="G110" s="288"/>
      <c r="H110" s="290"/>
      <c r="I110" s="256"/>
      <c r="J110" s="256"/>
    </row>
    <row r="111" spans="1:10" ht="12.75" outlineLevel="1">
      <c r="A111" s="291"/>
      <c r="B111" s="282"/>
      <c r="C111" s="282"/>
      <c r="D111" s="282"/>
      <c r="E111" s="284"/>
      <c r="F111" s="285"/>
      <c r="G111" s="282"/>
      <c r="H111" s="282"/>
      <c r="I111" s="256"/>
      <c r="J111" s="256"/>
    </row>
    <row r="112" spans="1:10" ht="12.75" outlineLevel="1">
      <c r="A112" s="864" t="s">
        <v>113</v>
      </c>
      <c r="B112" s="864"/>
      <c r="C112" s="864"/>
      <c r="D112" s="864"/>
      <c r="E112" s="864"/>
      <c r="F112" s="864"/>
      <c r="G112" s="864"/>
      <c r="H112" s="864"/>
      <c r="I112" s="256"/>
      <c r="J112" s="256"/>
    </row>
    <row r="113" spans="1:10" ht="12.75" outlineLevel="1">
      <c r="A113" s="271"/>
      <c r="B113" s="272"/>
      <c r="C113" s="272"/>
      <c r="D113" s="272"/>
      <c r="E113" s="273"/>
      <c r="F113" s="274"/>
      <c r="G113" s="272"/>
      <c r="H113" s="275"/>
      <c r="I113" s="256"/>
      <c r="J113" s="256"/>
    </row>
    <row r="114" spans="1:10" ht="22.5" outlineLevel="1">
      <c r="A114" s="276" t="s">
        <v>114</v>
      </c>
      <c r="B114" s="277" t="s">
        <v>115</v>
      </c>
      <c r="C114" s="277" t="s">
        <v>116</v>
      </c>
      <c r="D114" s="277" t="s">
        <v>117</v>
      </c>
      <c r="E114" s="278" t="s">
        <v>118</v>
      </c>
      <c r="F114" s="279" t="s">
        <v>48</v>
      </c>
      <c r="G114" s="277"/>
      <c r="H114" s="280"/>
      <c r="I114" s="256"/>
      <c r="J114" s="256"/>
    </row>
    <row r="115" spans="1:10" ht="12.75" outlineLevel="1">
      <c r="A115" s="281" t="s">
        <v>130</v>
      </c>
      <c r="B115" s="282"/>
      <c r="C115" s="282">
        <f>C110</f>
        <v>10000000</v>
      </c>
      <c r="D115" s="282"/>
      <c r="E115" s="284"/>
      <c r="F115" s="285"/>
      <c r="G115" s="282"/>
      <c r="H115" s="286"/>
      <c r="I115" s="256"/>
      <c r="J115" s="256"/>
    </row>
    <row r="116" spans="1:10" ht="12.75" outlineLevel="1">
      <c r="A116" s="307">
        <v>47938</v>
      </c>
      <c r="B116" s="282">
        <f>A116-A109</f>
        <v>90</v>
      </c>
      <c r="C116" s="282">
        <f>C115-D116</f>
        <v>9750000</v>
      </c>
      <c r="D116" s="282">
        <v>250000</v>
      </c>
      <c r="E116" s="308">
        <f>$E$11+$E$12</f>
        <v>0.0641</v>
      </c>
      <c r="F116" s="285">
        <f>B116*C115*E116/I116</f>
        <v>158054.79452054796</v>
      </c>
      <c r="G116" s="282"/>
      <c r="H116" s="286"/>
      <c r="I116" s="256">
        <v>365</v>
      </c>
      <c r="J116" s="256"/>
    </row>
    <row r="117" spans="1:10" ht="12.75" outlineLevel="1">
      <c r="A117" s="307">
        <v>48029</v>
      </c>
      <c r="B117" s="282">
        <f>A117-A116</f>
        <v>91</v>
      </c>
      <c r="C117" s="282">
        <f>C116-D117</f>
        <v>9500000</v>
      </c>
      <c r="D117" s="282">
        <v>250000</v>
      </c>
      <c r="E117" s="308">
        <f>$E$11+$E$12</f>
        <v>0.0641</v>
      </c>
      <c r="F117" s="285">
        <f>B117*C116*E117/I117</f>
        <v>155815.68493150684</v>
      </c>
      <c r="G117" s="282"/>
      <c r="H117" s="286"/>
      <c r="I117" s="256">
        <v>365</v>
      </c>
      <c r="J117" s="256"/>
    </row>
    <row r="118" spans="1:10" ht="12.75" outlineLevel="1">
      <c r="A118" s="307">
        <v>48121</v>
      </c>
      <c r="B118" s="282">
        <f>A118-A117</f>
        <v>92</v>
      </c>
      <c r="C118" s="282">
        <f>C117-D118</f>
        <v>9250000</v>
      </c>
      <c r="D118" s="282">
        <v>250000</v>
      </c>
      <c r="E118" s="308">
        <f>$E$11+$E$12</f>
        <v>0.0641</v>
      </c>
      <c r="F118" s="285">
        <f>B118*C117*E118/I118</f>
        <v>153488.76712328766</v>
      </c>
      <c r="G118" s="282"/>
      <c r="H118" s="286"/>
      <c r="I118" s="256">
        <v>365</v>
      </c>
      <c r="J118" s="256"/>
    </row>
    <row r="119" spans="1:10" ht="12.75" outlineLevel="1">
      <c r="A119" s="307">
        <v>48213</v>
      </c>
      <c r="B119" s="282">
        <f>A119-A118</f>
        <v>92</v>
      </c>
      <c r="C119" s="282">
        <f>C118-D119</f>
        <v>9000000</v>
      </c>
      <c r="D119" s="282">
        <v>250000</v>
      </c>
      <c r="E119" s="308">
        <f>$E$11+$E$12</f>
        <v>0.0641</v>
      </c>
      <c r="F119" s="285">
        <f>B119*C118*E119/I119</f>
        <v>149449.5890410959</v>
      </c>
      <c r="G119" s="282"/>
      <c r="H119" s="286"/>
      <c r="I119" s="256">
        <v>365</v>
      </c>
      <c r="J119" s="256"/>
    </row>
    <row r="120" spans="1:10" ht="12.75" outlineLevel="1">
      <c r="A120" s="309"/>
      <c r="B120" s="288"/>
      <c r="C120" s="288">
        <f>C119</f>
        <v>9000000</v>
      </c>
      <c r="D120" s="288">
        <f>SUM(D116:D119)</f>
        <v>1000000</v>
      </c>
      <c r="E120" s="289"/>
      <c r="F120" s="274">
        <f>SUM(F116:F119)</f>
        <v>616808.8356164384</v>
      </c>
      <c r="G120" s="288"/>
      <c r="H120" s="290"/>
      <c r="I120" s="256"/>
      <c r="J120" s="256"/>
    </row>
    <row r="121" spans="1:10" ht="12.75" outlineLevel="1">
      <c r="A121" s="256"/>
      <c r="B121" s="255"/>
      <c r="C121" s="255"/>
      <c r="D121" s="255"/>
      <c r="E121" s="257"/>
      <c r="F121" s="258"/>
      <c r="G121" s="255"/>
      <c r="H121" s="255"/>
      <c r="I121" s="256"/>
      <c r="J121" s="256"/>
    </row>
    <row r="122" spans="1:10" ht="12.75" outlineLevel="1">
      <c r="A122" s="864" t="s">
        <v>113</v>
      </c>
      <c r="B122" s="864"/>
      <c r="C122" s="864"/>
      <c r="D122" s="864"/>
      <c r="E122" s="864"/>
      <c r="F122" s="864"/>
      <c r="G122" s="864"/>
      <c r="H122" s="864"/>
      <c r="I122" s="256"/>
      <c r="J122" s="256"/>
    </row>
    <row r="123" spans="1:10" ht="12.75" outlineLevel="1">
      <c r="A123" s="271"/>
      <c r="B123" s="272"/>
      <c r="C123" s="272"/>
      <c r="D123" s="272"/>
      <c r="E123" s="273"/>
      <c r="F123" s="274"/>
      <c r="G123" s="272"/>
      <c r="H123" s="275"/>
      <c r="I123" s="256"/>
      <c r="J123" s="256"/>
    </row>
    <row r="124" spans="1:10" ht="22.5" outlineLevel="1">
      <c r="A124" s="276" t="s">
        <v>114</v>
      </c>
      <c r="B124" s="277" t="s">
        <v>115</v>
      </c>
      <c r="C124" s="277" t="s">
        <v>116</v>
      </c>
      <c r="D124" s="277" t="s">
        <v>117</v>
      </c>
      <c r="E124" s="278" t="s">
        <v>118</v>
      </c>
      <c r="F124" s="279" t="s">
        <v>48</v>
      </c>
      <c r="G124" s="277"/>
      <c r="H124" s="280"/>
      <c r="I124" s="256"/>
      <c r="J124" s="256"/>
    </row>
    <row r="125" spans="1:10" ht="12.75" outlineLevel="1">
      <c r="A125" s="281" t="s">
        <v>131</v>
      </c>
      <c r="B125" s="282"/>
      <c r="C125" s="282">
        <f>C120</f>
        <v>9000000</v>
      </c>
      <c r="D125" s="282"/>
      <c r="E125" s="284"/>
      <c r="F125" s="285"/>
      <c r="G125" s="282"/>
      <c r="H125" s="286"/>
      <c r="I125" s="256"/>
      <c r="J125" s="256"/>
    </row>
    <row r="126" spans="1:10" ht="12.75" outlineLevel="1">
      <c r="A126" s="307">
        <v>48304</v>
      </c>
      <c r="B126" s="282">
        <f>A126-A119</f>
        <v>91</v>
      </c>
      <c r="C126" s="282">
        <f>C125-D126</f>
        <v>8750000</v>
      </c>
      <c r="D126" s="282">
        <v>250000</v>
      </c>
      <c r="E126" s="308">
        <f>$E$11+$E$12</f>
        <v>0.0641</v>
      </c>
      <c r="F126" s="285">
        <f>B126*C125*E126/I126</f>
        <v>143829.86301369863</v>
      </c>
      <c r="G126" s="282"/>
      <c r="H126" s="286"/>
      <c r="I126" s="256">
        <v>365</v>
      </c>
      <c r="J126" s="256"/>
    </row>
    <row r="127" spans="1:10" ht="12.75" outlineLevel="1">
      <c r="A127" s="307">
        <v>48395</v>
      </c>
      <c r="B127" s="282">
        <f>A127-A126</f>
        <v>91</v>
      </c>
      <c r="C127" s="282">
        <f>C126-D127</f>
        <v>8500000</v>
      </c>
      <c r="D127" s="282">
        <v>250000</v>
      </c>
      <c r="E127" s="308">
        <f>$E$11+$E$12</f>
        <v>0.0641</v>
      </c>
      <c r="F127" s="285">
        <f>B127*C126*E127/I127</f>
        <v>139834.5890410959</v>
      </c>
      <c r="G127" s="282"/>
      <c r="H127" s="286"/>
      <c r="I127" s="256">
        <v>365</v>
      </c>
      <c r="J127" s="256"/>
    </row>
    <row r="128" spans="1:10" ht="12.75" outlineLevel="1">
      <c r="A128" s="307">
        <v>48487</v>
      </c>
      <c r="B128" s="282">
        <f>A128-A127</f>
        <v>92</v>
      </c>
      <c r="C128" s="282">
        <f>C127-D128</f>
        <v>8250000</v>
      </c>
      <c r="D128" s="282">
        <v>250000</v>
      </c>
      <c r="E128" s="308">
        <f>$E$11+$E$12</f>
        <v>0.0641</v>
      </c>
      <c r="F128" s="285">
        <f>B128*C127*E128/I128</f>
        <v>137332.05479452055</v>
      </c>
      <c r="G128" s="282"/>
      <c r="H128" s="286"/>
      <c r="I128" s="256">
        <v>365</v>
      </c>
      <c r="J128" s="256"/>
    </row>
    <row r="129" spans="1:10" ht="12.75" outlineLevel="1">
      <c r="A129" s="307">
        <v>48579</v>
      </c>
      <c r="B129" s="282">
        <f>A129-A128</f>
        <v>92</v>
      </c>
      <c r="C129" s="282">
        <f>C128-D129</f>
        <v>8000000</v>
      </c>
      <c r="D129" s="282">
        <v>250000</v>
      </c>
      <c r="E129" s="308">
        <f>$E$11+$E$12</f>
        <v>0.0641</v>
      </c>
      <c r="F129" s="285">
        <f>B129*C128*E129/I129</f>
        <v>133292.87671232875</v>
      </c>
      <c r="G129" s="282"/>
      <c r="H129" s="286"/>
      <c r="I129" s="256">
        <v>365</v>
      </c>
      <c r="J129" s="256"/>
    </row>
    <row r="130" spans="1:10" ht="12.75" outlineLevel="1">
      <c r="A130" s="309"/>
      <c r="B130" s="288"/>
      <c r="C130" s="288">
        <f>C129</f>
        <v>8000000</v>
      </c>
      <c r="D130" s="288">
        <f>SUM(D126:D129)</f>
        <v>1000000</v>
      </c>
      <c r="E130" s="289"/>
      <c r="F130" s="274">
        <f>SUM(F126:F129)</f>
        <v>554289.3835616438</v>
      </c>
      <c r="G130" s="288"/>
      <c r="H130" s="290"/>
      <c r="I130" s="256"/>
      <c r="J130" s="256"/>
    </row>
    <row r="131" spans="1:10" ht="12.75" outlineLevel="1">
      <c r="A131" s="310"/>
      <c r="B131" s="311"/>
      <c r="C131" s="311"/>
      <c r="D131" s="312"/>
      <c r="E131" s="312"/>
      <c r="F131" s="312"/>
      <c r="G131" s="311"/>
      <c r="H131" s="313"/>
      <c r="I131" s="256"/>
      <c r="J131" s="256"/>
    </row>
    <row r="132" spans="1:10" ht="12.75" outlineLevel="1">
      <c r="A132" s="864" t="s">
        <v>113</v>
      </c>
      <c r="B132" s="864"/>
      <c r="C132" s="864"/>
      <c r="D132" s="864"/>
      <c r="E132" s="864"/>
      <c r="F132" s="864"/>
      <c r="G132" s="864"/>
      <c r="H132" s="864"/>
      <c r="I132" s="256"/>
      <c r="J132" s="256"/>
    </row>
    <row r="133" spans="1:10" ht="12.75" outlineLevel="1">
      <c r="A133" s="271"/>
      <c r="B133" s="272"/>
      <c r="C133" s="272"/>
      <c r="D133" s="272"/>
      <c r="E133" s="273"/>
      <c r="F133" s="274"/>
      <c r="G133" s="272"/>
      <c r="H133" s="275"/>
      <c r="I133" s="256"/>
      <c r="J133" s="256"/>
    </row>
    <row r="134" spans="1:10" ht="22.5" outlineLevel="1">
      <c r="A134" s="276" t="s">
        <v>114</v>
      </c>
      <c r="B134" s="277" t="s">
        <v>115</v>
      </c>
      <c r="C134" s="277" t="s">
        <v>116</v>
      </c>
      <c r="D134" s="277" t="s">
        <v>117</v>
      </c>
      <c r="E134" s="278" t="s">
        <v>118</v>
      </c>
      <c r="F134" s="279" t="s">
        <v>48</v>
      </c>
      <c r="G134" s="277"/>
      <c r="H134" s="280"/>
      <c r="I134" s="256"/>
      <c r="J134" s="256"/>
    </row>
    <row r="135" spans="1:10" ht="12.75" outlineLevel="1">
      <c r="A135" s="281" t="s">
        <v>132</v>
      </c>
      <c r="B135" s="282"/>
      <c r="C135" s="282">
        <f>C130</f>
        <v>8000000</v>
      </c>
      <c r="D135" s="282"/>
      <c r="E135" s="284"/>
      <c r="F135" s="285"/>
      <c r="G135" s="282"/>
      <c r="H135" s="286"/>
      <c r="I135" s="256"/>
      <c r="J135" s="256"/>
    </row>
    <row r="136" spans="1:10" ht="12.75" outlineLevel="1">
      <c r="A136" s="307">
        <v>48669</v>
      </c>
      <c r="B136" s="282">
        <v>90</v>
      </c>
      <c r="C136" s="282">
        <f>C135-D136</f>
        <v>7750000</v>
      </c>
      <c r="D136" s="282">
        <v>250000</v>
      </c>
      <c r="E136" s="308">
        <f>$E$11+$E$12</f>
        <v>0.0641</v>
      </c>
      <c r="F136" s="285">
        <f>B136*C135*E136/I136</f>
        <v>126443.83561643836</v>
      </c>
      <c r="G136" s="282"/>
      <c r="H136" s="286"/>
      <c r="I136" s="256">
        <v>365</v>
      </c>
      <c r="J136" s="256"/>
    </row>
    <row r="137" spans="1:10" ht="12.75" outlineLevel="1">
      <c r="A137" s="307">
        <v>48760</v>
      </c>
      <c r="B137" s="282">
        <f>A137-A136</f>
        <v>91</v>
      </c>
      <c r="C137" s="282">
        <f>C136-D137</f>
        <v>7500000</v>
      </c>
      <c r="D137" s="282">
        <v>250000</v>
      </c>
      <c r="E137" s="308">
        <f>$E$11+$E$12</f>
        <v>0.0641</v>
      </c>
      <c r="F137" s="285">
        <f>B137*C136*E137/I137</f>
        <v>123853.49315068492</v>
      </c>
      <c r="G137" s="282"/>
      <c r="H137" s="286"/>
      <c r="I137" s="256">
        <v>365</v>
      </c>
      <c r="J137" s="256"/>
    </row>
    <row r="138" spans="1:10" ht="12.75" outlineLevel="1">
      <c r="A138" s="307">
        <v>48852</v>
      </c>
      <c r="B138" s="282">
        <f>A138-A137</f>
        <v>92</v>
      </c>
      <c r="C138" s="282">
        <f>C137-D138</f>
        <v>7250000</v>
      </c>
      <c r="D138" s="282">
        <v>250000</v>
      </c>
      <c r="E138" s="308">
        <f>$E$11+$E$12</f>
        <v>0.0641</v>
      </c>
      <c r="F138" s="285">
        <f>B138*C137*E138/I138</f>
        <v>121175.34246575342</v>
      </c>
      <c r="G138" s="282"/>
      <c r="H138" s="286"/>
      <c r="I138" s="256">
        <v>365</v>
      </c>
      <c r="J138" s="256"/>
    </row>
    <row r="139" spans="1:10" ht="12.75" outlineLevel="1">
      <c r="A139" s="307">
        <v>48944</v>
      </c>
      <c r="B139" s="282">
        <f>A139-A138</f>
        <v>92</v>
      </c>
      <c r="C139" s="282">
        <f>C138-D139</f>
        <v>7000000</v>
      </c>
      <c r="D139" s="282">
        <v>250000</v>
      </c>
      <c r="E139" s="308">
        <f>$E$11+$E$12</f>
        <v>0.0641</v>
      </c>
      <c r="F139" s="285">
        <f>B139*C138*E139/I139</f>
        <v>117136.16438356164</v>
      </c>
      <c r="G139" s="282"/>
      <c r="H139" s="286"/>
      <c r="I139" s="256">
        <v>365</v>
      </c>
      <c r="J139" s="256"/>
    </row>
    <row r="140" spans="1:10" ht="12.75" outlineLevel="1">
      <c r="A140" s="309"/>
      <c r="B140" s="288"/>
      <c r="C140" s="288">
        <f>C139</f>
        <v>7000000</v>
      </c>
      <c r="D140" s="288">
        <f>SUM(D136:D139)</f>
        <v>1000000</v>
      </c>
      <c r="E140" s="289"/>
      <c r="F140" s="274">
        <f>SUM(F136:F139)</f>
        <v>488608.83561643836</v>
      </c>
      <c r="G140" s="288"/>
      <c r="H140" s="290"/>
      <c r="I140" s="256"/>
      <c r="J140" s="256"/>
    </row>
    <row r="141" spans="1:10" ht="12.75" outlineLevel="1">
      <c r="A141" s="310"/>
      <c r="B141" s="311"/>
      <c r="C141" s="311"/>
      <c r="D141" s="311"/>
      <c r="E141" s="314"/>
      <c r="F141" s="315"/>
      <c r="G141" s="311"/>
      <c r="H141" s="313"/>
      <c r="I141" s="256"/>
      <c r="J141" s="256"/>
    </row>
    <row r="142" spans="1:10" ht="12.75" outlineLevel="1">
      <c r="A142" s="864" t="s">
        <v>113</v>
      </c>
      <c r="B142" s="864"/>
      <c r="C142" s="864"/>
      <c r="D142" s="864"/>
      <c r="E142" s="864"/>
      <c r="F142" s="864"/>
      <c r="G142" s="864"/>
      <c r="H142" s="864"/>
      <c r="I142" s="256"/>
      <c r="J142" s="256"/>
    </row>
    <row r="143" spans="1:10" ht="12.75" outlineLevel="1">
      <c r="A143" s="271"/>
      <c r="B143" s="272"/>
      <c r="C143" s="272"/>
      <c r="D143" s="272"/>
      <c r="E143" s="273"/>
      <c r="F143" s="274"/>
      <c r="G143" s="272"/>
      <c r="H143" s="275"/>
      <c r="I143" s="256"/>
      <c r="J143" s="256"/>
    </row>
    <row r="144" spans="1:10" ht="22.5" outlineLevel="1">
      <c r="A144" s="276" t="s">
        <v>114</v>
      </c>
      <c r="B144" s="277" t="s">
        <v>115</v>
      </c>
      <c r="C144" s="277" t="s">
        <v>116</v>
      </c>
      <c r="D144" s="277" t="s">
        <v>117</v>
      </c>
      <c r="E144" s="278" t="s">
        <v>118</v>
      </c>
      <c r="F144" s="279" t="s">
        <v>48</v>
      </c>
      <c r="G144" s="277"/>
      <c r="H144" s="280"/>
      <c r="I144" s="256"/>
      <c r="J144" s="256"/>
    </row>
    <row r="145" spans="1:10" ht="12.75" outlineLevel="1">
      <c r="A145" s="281" t="s">
        <v>133</v>
      </c>
      <c r="B145" s="282"/>
      <c r="C145" s="282">
        <f>C140</f>
        <v>7000000</v>
      </c>
      <c r="D145" s="282"/>
      <c r="E145" s="284"/>
      <c r="F145" s="285"/>
      <c r="G145" s="282"/>
      <c r="H145" s="286"/>
      <c r="I145" s="256"/>
      <c r="J145" s="256"/>
    </row>
    <row r="146" spans="1:10" ht="12.75" outlineLevel="1">
      <c r="A146" s="307">
        <v>49034</v>
      </c>
      <c r="B146" s="282">
        <f>A146-A139</f>
        <v>90</v>
      </c>
      <c r="C146" s="282">
        <f>C145-D146</f>
        <v>6750000</v>
      </c>
      <c r="D146" s="282">
        <v>250000</v>
      </c>
      <c r="E146" s="308">
        <f>$E$11+$E$12</f>
        <v>0.0641</v>
      </c>
      <c r="F146" s="285">
        <f>B146*C145*E146/I146</f>
        <v>110638.35616438356</v>
      </c>
      <c r="G146" s="282"/>
      <c r="H146" s="286"/>
      <c r="I146" s="256">
        <v>365</v>
      </c>
      <c r="J146" s="256"/>
    </row>
    <row r="147" spans="1:10" ht="12.75" outlineLevel="1">
      <c r="A147" s="307">
        <v>49125</v>
      </c>
      <c r="B147" s="282">
        <f>A147-A146</f>
        <v>91</v>
      </c>
      <c r="C147" s="282">
        <f>C146-D147</f>
        <v>6500000</v>
      </c>
      <c r="D147" s="282">
        <v>250000</v>
      </c>
      <c r="E147" s="308">
        <f>$E$11+$E$12</f>
        <v>0.0641</v>
      </c>
      <c r="F147" s="285">
        <f>B147*C146*E147/I147</f>
        <v>107872.39726027397</v>
      </c>
      <c r="G147" s="282"/>
      <c r="H147" s="286"/>
      <c r="I147" s="256">
        <v>365</v>
      </c>
      <c r="J147" s="256"/>
    </row>
    <row r="148" spans="1:10" ht="12.75" outlineLevel="1">
      <c r="A148" s="307">
        <v>49217</v>
      </c>
      <c r="B148" s="282">
        <f>A148-A147</f>
        <v>92</v>
      </c>
      <c r="C148" s="282">
        <f>C147-D148</f>
        <v>6250000</v>
      </c>
      <c r="D148" s="282">
        <v>250000</v>
      </c>
      <c r="E148" s="308">
        <f>$E$11+$E$12</f>
        <v>0.0641</v>
      </c>
      <c r="F148" s="285">
        <f>B148*C147*E148/I148</f>
        <v>105018.6301369863</v>
      </c>
      <c r="G148" s="282"/>
      <c r="H148" s="286"/>
      <c r="I148" s="256">
        <v>365</v>
      </c>
      <c r="J148" s="256"/>
    </row>
    <row r="149" spans="1:10" ht="12.75" outlineLevel="1">
      <c r="A149" s="307">
        <v>49309</v>
      </c>
      <c r="B149" s="282">
        <f>A149-A148</f>
        <v>92</v>
      </c>
      <c r="C149" s="282">
        <f>C148-D149</f>
        <v>6000000</v>
      </c>
      <c r="D149" s="282">
        <v>250000</v>
      </c>
      <c r="E149" s="308">
        <f>$E$11+$E$12</f>
        <v>0.0641</v>
      </c>
      <c r="F149" s="285">
        <f>B149*C148*E149/I149</f>
        <v>100979.45205479451</v>
      </c>
      <c r="G149" s="282"/>
      <c r="H149" s="286"/>
      <c r="I149" s="256">
        <v>365</v>
      </c>
      <c r="J149" s="256"/>
    </row>
    <row r="150" spans="1:10" ht="12.75" outlineLevel="1">
      <c r="A150" s="309"/>
      <c r="B150" s="288"/>
      <c r="C150" s="288">
        <f>C149</f>
        <v>6000000</v>
      </c>
      <c r="D150" s="288">
        <f>SUM(D146:D149)</f>
        <v>1000000</v>
      </c>
      <c r="E150" s="289"/>
      <c r="F150" s="274">
        <f>SUM(F146:F149)</f>
        <v>424508.83561643836</v>
      </c>
      <c r="G150" s="288"/>
      <c r="H150" s="290"/>
      <c r="I150" s="256"/>
      <c r="J150" s="256"/>
    </row>
    <row r="151" spans="1:10" ht="12.75" outlineLevel="1">
      <c r="A151" s="310"/>
      <c r="B151" s="311"/>
      <c r="C151" s="311"/>
      <c r="D151" s="311"/>
      <c r="E151" s="314"/>
      <c r="F151" s="315"/>
      <c r="G151" s="311"/>
      <c r="H151" s="313"/>
      <c r="I151" s="256"/>
      <c r="J151" s="256"/>
    </row>
    <row r="152" spans="1:10" ht="12.75" outlineLevel="1">
      <c r="A152" s="864" t="s">
        <v>113</v>
      </c>
      <c r="B152" s="864"/>
      <c r="C152" s="864"/>
      <c r="D152" s="864"/>
      <c r="E152" s="864"/>
      <c r="F152" s="864"/>
      <c r="G152" s="864"/>
      <c r="H152" s="864"/>
      <c r="I152" s="256"/>
      <c r="J152" s="256"/>
    </row>
    <row r="153" spans="1:10" ht="12.75" outlineLevel="1">
      <c r="A153" s="271"/>
      <c r="B153" s="272"/>
      <c r="C153" s="272"/>
      <c r="D153" s="272"/>
      <c r="E153" s="273"/>
      <c r="F153" s="274"/>
      <c r="G153" s="272"/>
      <c r="H153" s="275"/>
      <c r="I153" s="256"/>
      <c r="J153" s="256"/>
    </row>
    <row r="154" spans="1:10" ht="22.5" outlineLevel="1">
      <c r="A154" s="276" t="s">
        <v>114</v>
      </c>
      <c r="B154" s="277" t="s">
        <v>115</v>
      </c>
      <c r="C154" s="277" t="s">
        <v>116</v>
      </c>
      <c r="D154" s="277" t="s">
        <v>117</v>
      </c>
      <c r="E154" s="278" t="s">
        <v>118</v>
      </c>
      <c r="F154" s="279" t="s">
        <v>48</v>
      </c>
      <c r="G154" s="277"/>
      <c r="H154" s="280"/>
      <c r="I154" s="256"/>
      <c r="J154" s="256"/>
    </row>
    <row r="155" spans="1:10" ht="12.75" outlineLevel="1">
      <c r="A155" s="281" t="s">
        <v>209</v>
      </c>
      <c r="B155" s="282"/>
      <c r="C155" s="282">
        <f>C150</f>
        <v>6000000</v>
      </c>
      <c r="D155" s="282"/>
      <c r="E155" s="284"/>
      <c r="F155" s="285"/>
      <c r="G155" s="282"/>
      <c r="H155" s="286"/>
      <c r="I155" s="256"/>
      <c r="J155" s="256"/>
    </row>
    <row r="156" spans="1:10" ht="12.75" outlineLevel="1">
      <c r="A156" s="307">
        <v>49399</v>
      </c>
      <c r="B156" s="282">
        <f>A156-A149</f>
        <v>90</v>
      </c>
      <c r="C156" s="282">
        <f>C155-D156</f>
        <v>5750000</v>
      </c>
      <c r="D156" s="282">
        <v>250000</v>
      </c>
      <c r="E156" s="308">
        <f>$E$11+$E$12</f>
        <v>0.0641</v>
      </c>
      <c r="F156" s="285">
        <f>B156*C155*E156/I156</f>
        <v>94832.87671232877</v>
      </c>
      <c r="G156" s="282"/>
      <c r="H156" s="286"/>
      <c r="I156" s="256">
        <v>365</v>
      </c>
      <c r="J156" s="256"/>
    </row>
    <row r="157" spans="1:10" ht="12.75" outlineLevel="1">
      <c r="A157" s="307">
        <v>49490</v>
      </c>
      <c r="B157" s="282">
        <f>A157-A156</f>
        <v>91</v>
      </c>
      <c r="C157" s="282">
        <f>C156-D157</f>
        <v>5500000</v>
      </c>
      <c r="D157" s="282">
        <v>250000</v>
      </c>
      <c r="E157" s="308">
        <f>$E$11+$E$12</f>
        <v>0.0641</v>
      </c>
      <c r="F157" s="285">
        <f>B157*C156*E157/I157</f>
        <v>91891.30136986302</v>
      </c>
      <c r="G157" s="282"/>
      <c r="H157" s="286"/>
      <c r="I157" s="256">
        <v>365</v>
      </c>
      <c r="J157" s="256"/>
    </row>
    <row r="158" spans="1:10" ht="12.75" outlineLevel="1">
      <c r="A158" s="307">
        <v>49582</v>
      </c>
      <c r="B158" s="282">
        <f>A158-A157</f>
        <v>92</v>
      </c>
      <c r="C158" s="282">
        <f>C157-D158</f>
        <v>5250000</v>
      </c>
      <c r="D158" s="282">
        <v>250000</v>
      </c>
      <c r="E158" s="308">
        <f>$E$11+$E$12</f>
        <v>0.0641</v>
      </c>
      <c r="F158" s="285">
        <f>B158*C157*E158/I158</f>
        <v>88861.9178082192</v>
      </c>
      <c r="G158" s="282"/>
      <c r="H158" s="286"/>
      <c r="I158" s="256">
        <v>365</v>
      </c>
      <c r="J158" s="256"/>
    </row>
    <row r="159" spans="1:10" ht="12.75" outlineLevel="1">
      <c r="A159" s="307">
        <v>49674</v>
      </c>
      <c r="B159" s="282">
        <f>A159-A158</f>
        <v>92</v>
      </c>
      <c r="C159" s="282">
        <f>C158-D159</f>
        <v>5000000</v>
      </c>
      <c r="D159" s="282">
        <v>250000</v>
      </c>
      <c r="E159" s="308">
        <f>$E$11+$E$12</f>
        <v>0.0641</v>
      </c>
      <c r="F159" s="285">
        <f>B159*C158*E159/I159</f>
        <v>84822.7397260274</v>
      </c>
      <c r="G159" s="282"/>
      <c r="H159" s="286"/>
      <c r="I159" s="256">
        <v>365</v>
      </c>
      <c r="J159" s="256"/>
    </row>
    <row r="160" spans="1:10" ht="12.75" outlineLevel="1">
      <c r="A160" s="309"/>
      <c r="B160" s="288"/>
      <c r="C160" s="288">
        <f>C159</f>
        <v>5000000</v>
      </c>
      <c r="D160" s="288">
        <f>SUM(D156:D159)</f>
        <v>1000000</v>
      </c>
      <c r="E160" s="289"/>
      <c r="F160" s="274">
        <f>SUM(F156:F159)</f>
        <v>360408.8356164384</v>
      </c>
      <c r="G160" s="288"/>
      <c r="H160" s="290"/>
      <c r="I160" s="256"/>
      <c r="J160" s="256"/>
    </row>
    <row r="161" spans="1:10" ht="12.75" outlineLevel="1">
      <c r="A161" s="310"/>
      <c r="B161" s="311"/>
      <c r="C161" s="311"/>
      <c r="D161" s="311"/>
      <c r="E161" s="314"/>
      <c r="F161" s="315"/>
      <c r="G161" s="311"/>
      <c r="H161" s="313"/>
      <c r="I161" s="256"/>
      <c r="J161" s="256"/>
    </row>
    <row r="162" spans="1:10" ht="12.75" outlineLevel="1">
      <c r="A162" s="864" t="s">
        <v>113</v>
      </c>
      <c r="B162" s="864"/>
      <c r="C162" s="864"/>
      <c r="D162" s="864"/>
      <c r="E162" s="864"/>
      <c r="F162" s="864"/>
      <c r="G162" s="864"/>
      <c r="H162" s="864"/>
      <c r="I162" s="256"/>
      <c r="J162" s="256"/>
    </row>
    <row r="163" spans="1:10" ht="12.75" outlineLevel="1">
      <c r="A163" s="271"/>
      <c r="B163" s="272"/>
      <c r="C163" s="272"/>
      <c r="D163" s="272"/>
      <c r="E163" s="273"/>
      <c r="F163" s="274"/>
      <c r="G163" s="272"/>
      <c r="H163" s="275"/>
      <c r="I163" s="256"/>
      <c r="J163" s="256"/>
    </row>
    <row r="164" spans="1:10" ht="22.5" outlineLevel="1">
      <c r="A164" s="276" t="s">
        <v>114</v>
      </c>
      <c r="B164" s="277" t="s">
        <v>115</v>
      </c>
      <c r="C164" s="277" t="s">
        <v>116</v>
      </c>
      <c r="D164" s="277" t="s">
        <v>117</v>
      </c>
      <c r="E164" s="278" t="s">
        <v>118</v>
      </c>
      <c r="F164" s="279" t="s">
        <v>48</v>
      </c>
      <c r="G164" s="277"/>
      <c r="H164" s="280"/>
      <c r="I164" s="256"/>
      <c r="J164" s="256"/>
    </row>
    <row r="165" spans="1:10" ht="12.75" outlineLevel="1">
      <c r="A165" s="281">
        <v>2036</v>
      </c>
      <c r="B165" s="282"/>
      <c r="C165" s="282">
        <f>C160</f>
        <v>5000000</v>
      </c>
      <c r="D165" s="282"/>
      <c r="E165" s="284"/>
      <c r="F165" s="285"/>
      <c r="G165" s="282"/>
      <c r="H165" s="286"/>
      <c r="I165" s="256"/>
      <c r="J165" s="256"/>
    </row>
    <row r="166" spans="1:10" ht="12.75" outlineLevel="1">
      <c r="A166" s="307">
        <v>49765</v>
      </c>
      <c r="B166" s="282">
        <f>A166-A159</f>
        <v>91</v>
      </c>
      <c r="C166" s="282">
        <f>C165-D166</f>
        <v>4750000</v>
      </c>
      <c r="D166" s="282">
        <v>250000</v>
      </c>
      <c r="E166" s="308">
        <f>$E$11+$E$12</f>
        <v>0.0641</v>
      </c>
      <c r="F166" s="285">
        <f>B166*C165*E166/I166</f>
        <v>79905.4794520548</v>
      </c>
      <c r="G166" s="282"/>
      <c r="H166" s="286"/>
      <c r="I166" s="256">
        <v>365</v>
      </c>
      <c r="J166" s="256"/>
    </row>
    <row r="167" spans="1:10" ht="12.75" outlineLevel="1">
      <c r="A167" s="307">
        <v>49856</v>
      </c>
      <c r="B167" s="282">
        <f>A167-A166</f>
        <v>91</v>
      </c>
      <c r="C167" s="282">
        <f>C166-D167</f>
        <v>4500000</v>
      </c>
      <c r="D167" s="282">
        <v>250000</v>
      </c>
      <c r="E167" s="308">
        <f>$E$11+$E$12</f>
        <v>0.0641</v>
      </c>
      <c r="F167" s="285">
        <f>B167*C166*E167/I167</f>
        <v>75910.20547945205</v>
      </c>
      <c r="G167" s="282"/>
      <c r="H167" s="286"/>
      <c r="I167" s="256">
        <v>365</v>
      </c>
      <c r="J167" s="256"/>
    </row>
    <row r="168" spans="1:10" ht="12.75" outlineLevel="1">
      <c r="A168" s="307">
        <v>49948</v>
      </c>
      <c r="B168" s="282">
        <f>A168-A167</f>
        <v>92</v>
      </c>
      <c r="C168" s="282">
        <f>C167-D168</f>
        <v>4250000</v>
      </c>
      <c r="D168" s="282">
        <v>250000</v>
      </c>
      <c r="E168" s="308">
        <f>$E$11+$E$12</f>
        <v>0.0641</v>
      </c>
      <c r="F168" s="285">
        <f>B168*C167*E168/I168</f>
        <v>72705.20547945205</v>
      </c>
      <c r="G168" s="282"/>
      <c r="H168" s="286"/>
      <c r="I168" s="256">
        <v>365</v>
      </c>
      <c r="J168" s="256"/>
    </row>
    <row r="169" spans="1:10" ht="12.75" outlineLevel="1">
      <c r="A169" s="307">
        <v>50040</v>
      </c>
      <c r="B169" s="282">
        <f>A169-A168</f>
        <v>92</v>
      </c>
      <c r="C169" s="282">
        <f>C168-D169</f>
        <v>4000000</v>
      </c>
      <c r="D169" s="282">
        <v>250000</v>
      </c>
      <c r="E169" s="308">
        <f>$E$11+$E$12</f>
        <v>0.0641</v>
      </c>
      <c r="F169" s="285">
        <f>B169*C168*E169/I169</f>
        <v>68666.02739726027</v>
      </c>
      <c r="G169" s="282"/>
      <c r="H169" s="286"/>
      <c r="I169" s="256">
        <v>365</v>
      </c>
      <c r="J169" s="256"/>
    </row>
    <row r="170" spans="1:10" ht="12.75" outlineLevel="1">
      <c r="A170" s="309"/>
      <c r="B170" s="288"/>
      <c r="C170" s="288">
        <f>C169</f>
        <v>4000000</v>
      </c>
      <c r="D170" s="288">
        <f>SUM(D166:D169)</f>
        <v>1000000</v>
      </c>
      <c r="E170" s="289"/>
      <c r="F170" s="274">
        <f>SUM(F166:F169)</f>
        <v>297186.9178082192</v>
      </c>
      <c r="G170" s="288"/>
      <c r="H170" s="290"/>
      <c r="I170" s="256"/>
      <c r="J170" s="256"/>
    </row>
    <row r="171" spans="1:10" ht="12.75" outlineLevel="1">
      <c r="A171" s="310"/>
      <c r="B171" s="311"/>
      <c r="C171" s="311"/>
      <c r="D171" s="311"/>
      <c r="E171" s="314"/>
      <c r="F171" s="315"/>
      <c r="G171" s="311"/>
      <c r="H171" s="313"/>
      <c r="I171" s="256"/>
      <c r="J171" s="256"/>
    </row>
    <row r="172" spans="1:10" ht="12.75" outlineLevel="1">
      <c r="A172" s="864" t="s">
        <v>113</v>
      </c>
      <c r="B172" s="864"/>
      <c r="C172" s="864"/>
      <c r="D172" s="864"/>
      <c r="E172" s="864"/>
      <c r="F172" s="864"/>
      <c r="G172" s="864"/>
      <c r="H172" s="864"/>
      <c r="I172" s="256"/>
      <c r="J172" s="256"/>
    </row>
    <row r="173" spans="1:10" ht="12.75" outlineLevel="1">
      <c r="A173" s="271"/>
      <c r="B173" s="272"/>
      <c r="C173" s="272"/>
      <c r="D173" s="272"/>
      <c r="E173" s="273"/>
      <c r="F173" s="274"/>
      <c r="G173" s="272"/>
      <c r="H173" s="275"/>
      <c r="I173" s="256"/>
      <c r="J173" s="256"/>
    </row>
    <row r="174" spans="1:10" ht="22.5" outlineLevel="1">
      <c r="A174" s="276" t="s">
        <v>114</v>
      </c>
      <c r="B174" s="277" t="s">
        <v>115</v>
      </c>
      <c r="C174" s="277" t="s">
        <v>116</v>
      </c>
      <c r="D174" s="277" t="s">
        <v>117</v>
      </c>
      <c r="E174" s="278" t="s">
        <v>118</v>
      </c>
      <c r="F174" s="279" t="s">
        <v>48</v>
      </c>
      <c r="G174" s="277"/>
      <c r="H174" s="280"/>
      <c r="I174" s="256"/>
      <c r="J174" s="256"/>
    </row>
    <row r="175" spans="1:10" ht="12.75" outlineLevel="1">
      <c r="A175" s="281" t="s">
        <v>135</v>
      </c>
      <c r="B175" s="282"/>
      <c r="C175" s="282">
        <f>C170</f>
        <v>4000000</v>
      </c>
      <c r="D175" s="282"/>
      <c r="E175" s="284"/>
      <c r="F175" s="285"/>
      <c r="G175" s="282"/>
      <c r="H175" s="286"/>
      <c r="I175" s="256"/>
      <c r="J175" s="256"/>
    </row>
    <row r="176" spans="1:10" ht="12.75" outlineLevel="1">
      <c r="A176" s="307">
        <v>50130</v>
      </c>
      <c r="B176" s="282">
        <v>90</v>
      </c>
      <c r="C176" s="282">
        <f>C175-D176</f>
        <v>3750000</v>
      </c>
      <c r="D176" s="282">
        <v>250000</v>
      </c>
      <c r="E176" s="308">
        <f>$E$11+$E$12</f>
        <v>0.0641</v>
      </c>
      <c r="F176" s="285">
        <f>B176*C175*E176/I176</f>
        <v>63221.91780821918</v>
      </c>
      <c r="G176" s="282"/>
      <c r="H176" s="286"/>
      <c r="I176" s="256">
        <v>365</v>
      </c>
      <c r="J176" s="256"/>
    </row>
    <row r="177" spans="1:10" ht="12.75" outlineLevel="1">
      <c r="A177" s="307">
        <v>50221</v>
      </c>
      <c r="B177" s="282">
        <f>A177-A176</f>
        <v>91</v>
      </c>
      <c r="C177" s="282">
        <f>C176-D177</f>
        <v>3500000</v>
      </c>
      <c r="D177" s="282">
        <v>250000</v>
      </c>
      <c r="E177" s="308">
        <f>$E$11+$E$12</f>
        <v>0.0641</v>
      </c>
      <c r="F177" s="285">
        <f>B177*C176*E177/I177</f>
        <v>59929.109589041094</v>
      </c>
      <c r="G177" s="282"/>
      <c r="H177" s="286"/>
      <c r="I177" s="256">
        <v>365</v>
      </c>
      <c r="J177" s="256"/>
    </row>
    <row r="178" spans="1:10" ht="12.75" outlineLevel="1">
      <c r="A178" s="307">
        <v>50313</v>
      </c>
      <c r="B178" s="282">
        <f>A178-A177</f>
        <v>92</v>
      </c>
      <c r="C178" s="282">
        <f>C177-D178</f>
        <v>3250000</v>
      </c>
      <c r="D178" s="282">
        <v>250000</v>
      </c>
      <c r="E178" s="308">
        <f>$E$11+$E$12</f>
        <v>0.0641</v>
      </c>
      <c r="F178" s="285">
        <f>B178*C177*E178/I178</f>
        <v>56548.49315068493</v>
      </c>
      <c r="G178" s="282"/>
      <c r="H178" s="286"/>
      <c r="I178" s="256">
        <v>365</v>
      </c>
      <c r="J178" s="256"/>
    </row>
    <row r="179" spans="1:10" ht="12.75" outlineLevel="1">
      <c r="A179" s="307">
        <v>50405</v>
      </c>
      <c r="B179" s="282">
        <f>A179-A178</f>
        <v>92</v>
      </c>
      <c r="C179" s="282">
        <f>C178-D179</f>
        <v>3000000</v>
      </c>
      <c r="D179" s="282">
        <v>250000</v>
      </c>
      <c r="E179" s="308">
        <f>$E$11+$E$12</f>
        <v>0.0641</v>
      </c>
      <c r="F179" s="285">
        <f>B179*C178*E179/I179</f>
        <v>52509.31506849315</v>
      </c>
      <c r="G179" s="282"/>
      <c r="H179" s="286"/>
      <c r="I179" s="256">
        <v>365</v>
      </c>
      <c r="J179" s="256"/>
    </row>
    <row r="180" spans="1:10" ht="12.75" outlineLevel="1">
      <c r="A180" s="309"/>
      <c r="B180" s="288"/>
      <c r="C180" s="288">
        <f>C179</f>
        <v>3000000</v>
      </c>
      <c r="D180" s="288">
        <f>SUM(D176:D179)</f>
        <v>1000000</v>
      </c>
      <c r="E180" s="289"/>
      <c r="F180" s="274">
        <f>SUM(F176:F179)</f>
        <v>232208.83561643836</v>
      </c>
      <c r="G180" s="288"/>
      <c r="H180" s="290"/>
      <c r="I180" s="256"/>
      <c r="J180" s="256"/>
    </row>
    <row r="181" spans="1:10" ht="12.75" outlineLevel="1">
      <c r="A181" s="256"/>
      <c r="B181" s="255"/>
      <c r="C181" s="255"/>
      <c r="D181" s="255"/>
      <c r="E181" s="257"/>
      <c r="F181" s="258"/>
      <c r="G181" s="255"/>
      <c r="H181" s="255"/>
      <c r="I181" s="256"/>
      <c r="J181" s="256"/>
    </row>
    <row r="182" spans="1:9" ht="12.75" outlineLevel="1">
      <c r="A182" s="864" t="s">
        <v>113</v>
      </c>
      <c r="B182" s="864"/>
      <c r="C182" s="864"/>
      <c r="D182" s="864"/>
      <c r="E182" s="864"/>
      <c r="F182" s="864"/>
      <c r="G182" s="864"/>
      <c r="H182" s="864"/>
      <c r="I182" s="256"/>
    </row>
    <row r="183" spans="1:9" ht="12.75" outlineLevel="1">
      <c r="A183" s="271"/>
      <c r="B183" s="272"/>
      <c r="C183" s="272"/>
      <c r="D183" s="272"/>
      <c r="E183" s="273"/>
      <c r="F183" s="274"/>
      <c r="G183" s="272"/>
      <c r="H183" s="275"/>
      <c r="I183" s="256"/>
    </row>
    <row r="184" spans="1:9" ht="22.5" outlineLevel="1">
      <c r="A184" s="276" t="s">
        <v>114</v>
      </c>
      <c r="B184" s="277" t="s">
        <v>115</v>
      </c>
      <c r="C184" s="277" t="s">
        <v>116</v>
      </c>
      <c r="D184" s="277" t="s">
        <v>117</v>
      </c>
      <c r="E184" s="278" t="s">
        <v>118</v>
      </c>
      <c r="F184" s="279" t="s">
        <v>48</v>
      </c>
      <c r="G184" s="277"/>
      <c r="H184" s="280"/>
      <c r="I184" s="256"/>
    </row>
    <row r="185" spans="1:9" ht="12.75" outlineLevel="1">
      <c r="A185" s="281" t="s">
        <v>136</v>
      </c>
      <c r="B185" s="282"/>
      <c r="C185" s="282">
        <f>C180</f>
        <v>3000000</v>
      </c>
      <c r="D185" s="282"/>
      <c r="E185" s="284"/>
      <c r="F185" s="285"/>
      <c r="G185" s="282"/>
      <c r="H185" s="286"/>
      <c r="I185" s="256"/>
    </row>
    <row r="186" spans="1:9" ht="12.75" outlineLevel="1">
      <c r="A186" s="307">
        <v>50495</v>
      </c>
      <c r="B186" s="282">
        <f>A186-A179</f>
        <v>90</v>
      </c>
      <c r="C186" s="282">
        <f>C185-D186</f>
        <v>2750000</v>
      </c>
      <c r="D186" s="282">
        <v>250000</v>
      </c>
      <c r="E186" s="308">
        <f>$E$11+$E$12</f>
        <v>0.0641</v>
      </c>
      <c r="F186" s="285">
        <f>B186*C185*E186/I186</f>
        <v>47416.438356164384</v>
      </c>
      <c r="G186" s="282"/>
      <c r="H186" s="286"/>
      <c r="I186" s="256">
        <v>365</v>
      </c>
    </row>
    <row r="187" spans="1:9" ht="12.75" outlineLevel="1">
      <c r="A187" s="307">
        <v>50586</v>
      </c>
      <c r="B187" s="282">
        <f>A187-A186</f>
        <v>91</v>
      </c>
      <c r="C187" s="282">
        <f>C186-D187</f>
        <v>2500000</v>
      </c>
      <c r="D187" s="282">
        <v>250000</v>
      </c>
      <c r="E187" s="308">
        <f>$E$11+$E$12</f>
        <v>0.0641</v>
      </c>
      <c r="F187" s="285">
        <f>B187*C186*E187/I187</f>
        <v>43948.013698630144</v>
      </c>
      <c r="G187" s="282"/>
      <c r="H187" s="286"/>
      <c r="I187" s="256">
        <v>365</v>
      </c>
    </row>
    <row r="188" spans="1:10" ht="12.75" outlineLevel="1">
      <c r="A188" s="307">
        <v>50678</v>
      </c>
      <c r="B188" s="282">
        <f>A188-A187</f>
        <v>92</v>
      </c>
      <c r="C188" s="282">
        <f>C187-D188</f>
        <v>2250000</v>
      </c>
      <c r="D188" s="282">
        <v>250000</v>
      </c>
      <c r="E188" s="308">
        <f>$E$11+$E$12</f>
        <v>0.0641</v>
      </c>
      <c r="F188" s="285">
        <f>B188*C187*E188/I188</f>
        <v>40391.78082191781</v>
      </c>
      <c r="G188" s="282"/>
      <c r="H188" s="286"/>
      <c r="I188" s="256">
        <v>365</v>
      </c>
      <c r="J188" s="256"/>
    </row>
    <row r="189" spans="1:10" ht="12.75" outlineLevel="1">
      <c r="A189" s="307">
        <v>50770</v>
      </c>
      <c r="B189" s="282">
        <f>A189-A188</f>
        <v>92</v>
      </c>
      <c r="C189" s="282">
        <f>C188-D189</f>
        <v>2000000</v>
      </c>
      <c r="D189" s="282">
        <v>250000</v>
      </c>
      <c r="E189" s="308">
        <f>$E$11+$E$12</f>
        <v>0.0641</v>
      </c>
      <c r="F189" s="285">
        <f>B189*C188*E189/I189</f>
        <v>36352.602739726026</v>
      </c>
      <c r="G189" s="282"/>
      <c r="H189" s="286"/>
      <c r="I189" s="256">
        <v>365</v>
      </c>
      <c r="J189" s="256"/>
    </row>
    <row r="190" spans="1:9" ht="12.75" outlineLevel="1">
      <c r="A190" s="309"/>
      <c r="B190" s="288"/>
      <c r="C190" s="288">
        <f>C189</f>
        <v>2000000</v>
      </c>
      <c r="D190" s="288">
        <f>SUM(D186:D189)</f>
        <v>1000000</v>
      </c>
      <c r="E190" s="289"/>
      <c r="F190" s="274">
        <f>SUM(F186:F189)</f>
        <v>168108.83561643836</v>
      </c>
      <c r="G190" s="288"/>
      <c r="H190" s="290"/>
      <c r="I190" s="256"/>
    </row>
    <row r="191" ht="12.75" outlineLevel="1"/>
    <row r="192" spans="1:9" ht="12.75" outlineLevel="1">
      <c r="A192" s="864" t="s">
        <v>113</v>
      </c>
      <c r="B192" s="864"/>
      <c r="C192" s="864"/>
      <c r="D192" s="864"/>
      <c r="E192" s="864"/>
      <c r="F192" s="864"/>
      <c r="G192" s="864"/>
      <c r="H192" s="864"/>
      <c r="I192" s="256"/>
    </row>
    <row r="193" spans="1:9" ht="12.75" outlineLevel="1">
      <c r="A193" s="271"/>
      <c r="B193" s="272"/>
      <c r="C193" s="272"/>
      <c r="D193" s="272"/>
      <c r="E193" s="273"/>
      <c r="F193" s="274"/>
      <c r="G193" s="272"/>
      <c r="H193" s="275"/>
      <c r="I193" s="256"/>
    </row>
    <row r="194" spans="1:9" ht="22.5" outlineLevel="1">
      <c r="A194" s="276" t="s">
        <v>114</v>
      </c>
      <c r="B194" s="277" t="s">
        <v>115</v>
      </c>
      <c r="C194" s="277" t="s">
        <v>116</v>
      </c>
      <c r="D194" s="277" t="s">
        <v>117</v>
      </c>
      <c r="E194" s="278" t="s">
        <v>118</v>
      </c>
      <c r="F194" s="279" t="s">
        <v>48</v>
      </c>
      <c r="G194" s="277"/>
      <c r="H194" s="280"/>
      <c r="I194" s="256"/>
    </row>
    <row r="195" spans="1:9" ht="12.75" outlineLevel="1">
      <c r="A195" s="281" t="s">
        <v>137</v>
      </c>
      <c r="B195" s="282"/>
      <c r="C195" s="282">
        <f>C190</f>
        <v>2000000</v>
      </c>
      <c r="D195" s="282">
        <v>250000</v>
      </c>
      <c r="E195" s="284"/>
      <c r="F195" s="285"/>
      <c r="G195" s="282"/>
      <c r="H195" s="286"/>
      <c r="I195" s="256"/>
    </row>
    <row r="196" spans="1:9" ht="12.75" outlineLevel="1">
      <c r="A196" s="307">
        <v>50860</v>
      </c>
      <c r="B196" s="282">
        <f>A196-A189</f>
        <v>90</v>
      </c>
      <c r="C196" s="282">
        <f>C195-D196</f>
        <v>1750000</v>
      </c>
      <c r="D196" s="282">
        <v>250000</v>
      </c>
      <c r="E196" s="308">
        <f>$E$11+$E$12</f>
        <v>0.0641</v>
      </c>
      <c r="F196" s="285">
        <f>B196*C195*E196/I196</f>
        <v>31610.95890410959</v>
      </c>
      <c r="G196" s="282"/>
      <c r="H196" s="286"/>
      <c r="I196" s="256">
        <v>365</v>
      </c>
    </row>
    <row r="197" spans="1:9" ht="12.75" outlineLevel="1">
      <c r="A197" s="307">
        <v>50951</v>
      </c>
      <c r="B197" s="282">
        <f>A197-A196</f>
        <v>91</v>
      </c>
      <c r="C197" s="282">
        <f>C196-D197</f>
        <v>1500000</v>
      </c>
      <c r="D197" s="282">
        <v>250000</v>
      </c>
      <c r="E197" s="308">
        <f>$E$11+$E$12</f>
        <v>0.0641</v>
      </c>
      <c r="F197" s="285">
        <f>B197*C196*E197/I197</f>
        <v>27966.91780821918</v>
      </c>
      <c r="G197" s="282"/>
      <c r="H197" s="286"/>
      <c r="I197" s="256">
        <v>365</v>
      </c>
    </row>
    <row r="198" spans="1:9" ht="12.75" outlineLevel="1">
      <c r="A198" s="307">
        <v>51043</v>
      </c>
      <c r="B198" s="282">
        <f>A198-A197</f>
        <v>92</v>
      </c>
      <c r="C198" s="282">
        <f>C197-D198</f>
        <v>1250000</v>
      </c>
      <c r="D198" s="282">
        <v>250000</v>
      </c>
      <c r="E198" s="308">
        <f>$E$11+$E$12</f>
        <v>0.0641</v>
      </c>
      <c r="F198" s="285">
        <f>B198*C197*E198/I198</f>
        <v>24235.068493150684</v>
      </c>
      <c r="G198" s="282"/>
      <c r="H198" s="286"/>
      <c r="I198" s="256">
        <v>365</v>
      </c>
    </row>
    <row r="199" spans="1:9" ht="12.75" outlineLevel="1">
      <c r="A199" s="307">
        <v>51135</v>
      </c>
      <c r="B199" s="282">
        <f>A199-A198</f>
        <v>92</v>
      </c>
      <c r="C199" s="282">
        <f>C198-D199</f>
        <v>1000000</v>
      </c>
      <c r="D199" s="282">
        <v>250000</v>
      </c>
      <c r="E199" s="308">
        <f>$E$11+$E$12</f>
        <v>0.0641</v>
      </c>
      <c r="F199" s="285">
        <f>B199*C198*E199/I199</f>
        <v>20195.890410958906</v>
      </c>
      <c r="G199" s="282"/>
      <c r="H199" s="286"/>
      <c r="I199" s="256">
        <v>365</v>
      </c>
    </row>
    <row r="200" spans="1:9" ht="12.75" outlineLevel="1">
      <c r="A200" s="309"/>
      <c r="B200" s="288"/>
      <c r="C200" s="288">
        <f>C199</f>
        <v>1000000</v>
      </c>
      <c r="D200" s="288">
        <f>SUM(D196:D199)</f>
        <v>1000000</v>
      </c>
      <c r="E200" s="289"/>
      <c r="F200" s="274">
        <f>SUM(F196:F199)</f>
        <v>104008.83561643836</v>
      </c>
      <c r="G200" s="288"/>
      <c r="H200" s="290"/>
      <c r="I200" s="256"/>
    </row>
    <row r="201" ht="12.75" outlineLevel="1"/>
    <row r="202" spans="1:9" ht="12.75" outlineLevel="1">
      <c r="A202" s="864" t="s">
        <v>113</v>
      </c>
      <c r="B202" s="864"/>
      <c r="C202" s="864"/>
      <c r="D202" s="864"/>
      <c r="E202" s="864"/>
      <c r="F202" s="864"/>
      <c r="G202" s="864"/>
      <c r="H202" s="864"/>
      <c r="I202" s="256"/>
    </row>
    <row r="203" spans="1:9" ht="12.75" outlineLevel="1">
      <c r="A203" s="271"/>
      <c r="B203" s="272"/>
      <c r="C203" s="272"/>
      <c r="D203" s="272"/>
      <c r="E203" s="273"/>
      <c r="F203" s="274"/>
      <c r="G203" s="272"/>
      <c r="H203" s="275"/>
      <c r="I203" s="256"/>
    </row>
    <row r="204" spans="1:9" ht="22.5" outlineLevel="1">
      <c r="A204" s="276" t="s">
        <v>114</v>
      </c>
      <c r="B204" s="277" t="s">
        <v>115</v>
      </c>
      <c r="C204" s="277" t="s">
        <v>116</v>
      </c>
      <c r="D204" s="277" t="s">
        <v>117</v>
      </c>
      <c r="E204" s="278" t="s">
        <v>118</v>
      </c>
      <c r="F204" s="279" t="s">
        <v>48</v>
      </c>
      <c r="G204" s="277"/>
      <c r="H204" s="280"/>
      <c r="I204" s="256"/>
    </row>
    <row r="205" spans="1:9" ht="12.75" outlineLevel="1">
      <c r="A205" s="281" t="s">
        <v>138</v>
      </c>
      <c r="B205" s="282"/>
      <c r="C205" s="282">
        <f>C200</f>
        <v>1000000</v>
      </c>
      <c r="D205" s="282">
        <v>250000</v>
      </c>
      <c r="E205" s="284"/>
      <c r="F205" s="285"/>
      <c r="G205" s="282"/>
      <c r="H205" s="286"/>
      <c r="I205" s="256"/>
    </row>
    <row r="206" spans="1:10" ht="12.75" outlineLevel="1">
      <c r="A206" s="307">
        <v>51226</v>
      </c>
      <c r="B206" s="282">
        <f>A206-A199</f>
        <v>91</v>
      </c>
      <c r="C206" s="282">
        <f>C205-D206</f>
        <v>750000</v>
      </c>
      <c r="D206" s="282">
        <v>250000</v>
      </c>
      <c r="E206" s="308">
        <f>$E$11+$E$12</f>
        <v>0.0641</v>
      </c>
      <c r="F206" s="285">
        <f>B206*C205*E206/I206</f>
        <v>15981.09589041096</v>
      </c>
      <c r="G206" s="282"/>
      <c r="H206" s="286"/>
      <c r="I206" s="256">
        <v>365</v>
      </c>
      <c r="J206" s="256"/>
    </row>
    <row r="207" spans="1:10" ht="12.75" outlineLevel="1">
      <c r="A207" s="307">
        <v>51317</v>
      </c>
      <c r="B207" s="282">
        <f>A207-A206</f>
        <v>91</v>
      </c>
      <c r="C207" s="282">
        <f>C206-D207</f>
        <v>500000</v>
      </c>
      <c r="D207" s="282">
        <v>250000</v>
      </c>
      <c r="E207" s="308">
        <f>$E$11+$E$12</f>
        <v>0.0641</v>
      </c>
      <c r="F207" s="285">
        <f>B207*C206*E207/I207</f>
        <v>11985.82191780822</v>
      </c>
      <c r="G207" s="282"/>
      <c r="H207" s="286"/>
      <c r="I207" s="256">
        <v>365</v>
      </c>
      <c r="J207" s="256"/>
    </row>
    <row r="208" spans="1:10" ht="12.75" outlineLevel="1">
      <c r="A208" s="307">
        <v>51409</v>
      </c>
      <c r="B208" s="282">
        <f>A208-A207</f>
        <v>92</v>
      </c>
      <c r="C208" s="282">
        <f>C207-D208</f>
        <v>250000</v>
      </c>
      <c r="D208" s="282">
        <v>250000</v>
      </c>
      <c r="E208" s="308">
        <f>$E$11+$E$12</f>
        <v>0.0641</v>
      </c>
      <c r="F208" s="285">
        <f>B208*C207*E208/I208</f>
        <v>8078.356164383562</v>
      </c>
      <c r="G208" s="282"/>
      <c r="H208" s="286"/>
      <c r="I208" s="256">
        <v>365</v>
      </c>
      <c r="J208" s="256"/>
    </row>
    <row r="209" spans="1:10" ht="12.75" outlineLevel="1">
      <c r="A209" s="307">
        <v>51501</v>
      </c>
      <c r="B209" s="282">
        <f>A209-A208</f>
        <v>92</v>
      </c>
      <c r="C209" s="282">
        <f>C208-D209</f>
        <v>0</v>
      </c>
      <c r="D209" s="282">
        <v>250000</v>
      </c>
      <c r="E209" s="308">
        <f>$E$11+$E$12</f>
        <v>0.0641</v>
      </c>
      <c r="F209" s="285">
        <f>B209*C208*E209/I209</f>
        <v>4039.178082191781</v>
      </c>
      <c r="G209" s="282"/>
      <c r="H209" s="286"/>
      <c r="I209" s="256">
        <v>365</v>
      </c>
      <c r="J209" s="256"/>
    </row>
    <row r="210" spans="1:10" ht="12.75" outlineLevel="1">
      <c r="A210" s="309"/>
      <c r="B210" s="288"/>
      <c r="C210" s="288">
        <f>C209</f>
        <v>0</v>
      </c>
      <c r="D210" s="288">
        <f>SUM(D206:D209)</f>
        <v>1000000</v>
      </c>
      <c r="E210" s="289"/>
      <c r="F210" s="274">
        <f>SUM(F206:F209)</f>
        <v>40084.45205479452</v>
      </c>
      <c r="G210" s="288"/>
      <c r="H210" s="290"/>
      <c r="I210" s="256"/>
      <c r="J210" s="256"/>
    </row>
    <row r="211" spans="1:10" ht="12.75" outlineLevel="1">
      <c r="A211" s="256"/>
      <c r="B211" s="255"/>
      <c r="G211" s="255"/>
      <c r="H211" s="255"/>
      <c r="I211" s="256"/>
      <c r="J211" s="256"/>
    </row>
    <row r="212" spans="1:9" ht="12.75" outlineLevel="1">
      <c r="A212" s="864" t="s">
        <v>113</v>
      </c>
      <c r="B212" s="864"/>
      <c r="C212" s="864"/>
      <c r="D212" s="864"/>
      <c r="E212" s="864"/>
      <c r="F212" s="864"/>
      <c r="G212" s="864"/>
      <c r="H212" s="864"/>
      <c r="I212" s="256"/>
    </row>
    <row r="213" spans="1:9" ht="12.75" outlineLevel="1">
      <c r="A213" s="271"/>
      <c r="B213" s="272"/>
      <c r="C213" s="272"/>
      <c r="D213" s="272"/>
      <c r="E213" s="273"/>
      <c r="F213" s="274"/>
      <c r="G213" s="272"/>
      <c r="H213" s="275"/>
      <c r="I213" s="256"/>
    </row>
    <row r="214" spans="1:9" ht="22.5" outlineLevel="1">
      <c r="A214" s="276" t="s">
        <v>114</v>
      </c>
      <c r="B214" s="277" t="s">
        <v>115</v>
      </c>
      <c r="C214" s="277" t="s">
        <v>116</v>
      </c>
      <c r="D214" s="277" t="s">
        <v>117</v>
      </c>
      <c r="E214" s="278" t="s">
        <v>118</v>
      </c>
      <c r="F214" s="279" t="s">
        <v>48</v>
      </c>
      <c r="G214" s="277"/>
      <c r="H214" s="280"/>
      <c r="I214" s="256"/>
    </row>
    <row r="215" spans="1:9" ht="12.75" outlineLevel="1">
      <c r="A215" s="281" t="s">
        <v>139</v>
      </c>
      <c r="B215" s="282"/>
      <c r="C215" s="282">
        <f>C210</f>
        <v>0</v>
      </c>
      <c r="D215" s="282"/>
      <c r="E215" s="284"/>
      <c r="F215" s="285"/>
      <c r="G215" s="282"/>
      <c r="H215" s="286"/>
      <c r="I215" s="256"/>
    </row>
    <row r="216" spans="1:9" ht="12.75" outlineLevel="1">
      <c r="A216" s="307">
        <v>51591</v>
      </c>
      <c r="B216" s="282">
        <v>90</v>
      </c>
      <c r="C216" s="282">
        <f>C215-D216</f>
        <v>0</v>
      </c>
      <c r="D216" s="282"/>
      <c r="E216" s="308">
        <f>$E$11+$E$12</f>
        <v>0.0641</v>
      </c>
      <c r="F216" s="285">
        <f>B216*C215*E216/I216</f>
        <v>0</v>
      </c>
      <c r="G216" s="282"/>
      <c r="H216" s="286"/>
      <c r="I216" s="256">
        <v>365</v>
      </c>
    </row>
    <row r="217" spans="1:9" ht="12.75" outlineLevel="1">
      <c r="A217" s="307">
        <v>51682</v>
      </c>
      <c r="B217" s="282">
        <f>A217-A216</f>
        <v>91</v>
      </c>
      <c r="C217" s="282">
        <f>C216-D217</f>
        <v>0</v>
      </c>
      <c r="D217" s="282"/>
      <c r="E217" s="308">
        <f>$E$11+$E$12</f>
        <v>0.0641</v>
      </c>
      <c r="F217" s="285">
        <f>B217*C216*E217/I217</f>
        <v>0</v>
      </c>
      <c r="G217" s="282"/>
      <c r="H217" s="286"/>
      <c r="I217" s="256">
        <v>365</v>
      </c>
    </row>
    <row r="218" spans="1:9" ht="12.75" outlineLevel="1">
      <c r="A218" s="307">
        <v>51774</v>
      </c>
      <c r="B218" s="282">
        <f>A218-A217</f>
        <v>92</v>
      </c>
      <c r="C218" s="282">
        <f>C217-D218</f>
        <v>0</v>
      </c>
      <c r="D218" s="282"/>
      <c r="E218" s="308">
        <f>$E$11+$E$12</f>
        <v>0.0641</v>
      </c>
      <c r="F218" s="285">
        <f>B218*C217*E218/I218</f>
        <v>0</v>
      </c>
      <c r="G218" s="282"/>
      <c r="H218" s="286"/>
      <c r="I218" s="256">
        <v>365</v>
      </c>
    </row>
    <row r="219" spans="1:9" ht="12.75" outlineLevel="1">
      <c r="A219" s="307">
        <v>51866</v>
      </c>
      <c r="B219" s="282">
        <f>A219-A218</f>
        <v>92</v>
      </c>
      <c r="C219" s="282">
        <f>C218-D219</f>
        <v>0</v>
      </c>
      <c r="D219" s="282"/>
      <c r="E219" s="308">
        <f>$E$11+$E$12</f>
        <v>0.0641</v>
      </c>
      <c r="F219" s="285">
        <f>B219*C218*E219/I219</f>
        <v>0</v>
      </c>
      <c r="G219" s="282"/>
      <c r="H219" s="286"/>
      <c r="I219" s="256">
        <v>365</v>
      </c>
    </row>
    <row r="220" spans="1:9" ht="12.75" outlineLevel="1">
      <c r="A220" s="309"/>
      <c r="B220" s="288"/>
      <c r="C220" s="288">
        <f>C219</f>
        <v>0</v>
      </c>
      <c r="D220" s="288"/>
      <c r="E220" s="289"/>
      <c r="F220" s="274">
        <f>SUM(F216:F219)</f>
        <v>0</v>
      </c>
      <c r="G220" s="288"/>
      <c r="H220" s="290"/>
      <c r="I220" s="256"/>
    </row>
    <row r="221" ht="12.75" outlineLevel="1"/>
    <row r="222" spans="1:9" ht="12.75" outlineLevel="1">
      <c r="A222" s="864" t="s">
        <v>113</v>
      </c>
      <c r="B222" s="864"/>
      <c r="C222" s="864"/>
      <c r="D222" s="864"/>
      <c r="E222" s="864"/>
      <c r="F222" s="864"/>
      <c r="G222" s="864"/>
      <c r="H222" s="864"/>
      <c r="I222" s="256"/>
    </row>
    <row r="223" spans="1:9" ht="12.75" outlineLevel="1">
      <c r="A223" s="271"/>
      <c r="B223" s="272"/>
      <c r="C223" s="272"/>
      <c r="D223" s="272"/>
      <c r="E223" s="273"/>
      <c r="F223" s="274"/>
      <c r="G223" s="272"/>
      <c r="H223" s="275"/>
      <c r="I223" s="256"/>
    </row>
    <row r="224" spans="1:9" ht="22.5" outlineLevel="1">
      <c r="A224" s="561" t="s">
        <v>114</v>
      </c>
      <c r="B224" s="562" t="s">
        <v>115</v>
      </c>
      <c r="C224" s="562" t="s">
        <v>116</v>
      </c>
      <c r="D224" s="562" t="s">
        <v>117</v>
      </c>
      <c r="E224" s="563" t="s">
        <v>118</v>
      </c>
      <c r="F224" s="564" t="s">
        <v>48</v>
      </c>
      <c r="G224" s="562"/>
      <c r="H224" s="565"/>
      <c r="I224" s="566"/>
    </row>
    <row r="225" spans="1:9" ht="12.75" outlineLevel="1">
      <c r="A225" s="567" t="s">
        <v>210</v>
      </c>
      <c r="B225" s="568"/>
      <c r="C225" s="568">
        <f>C220</f>
        <v>0</v>
      </c>
      <c r="D225" s="568"/>
      <c r="E225" s="569"/>
      <c r="F225" s="570"/>
      <c r="G225" s="568"/>
      <c r="H225" s="571"/>
      <c r="I225" s="566"/>
    </row>
    <row r="226" spans="1:9" ht="12.75" outlineLevel="1">
      <c r="A226" s="572">
        <v>52081</v>
      </c>
      <c r="B226" s="568">
        <f>A226-A219</f>
        <v>215</v>
      </c>
      <c r="C226" s="568">
        <f>C225-D226</f>
        <v>0</v>
      </c>
      <c r="D226" s="568"/>
      <c r="E226" s="573">
        <f>$E$11+$E$12</f>
        <v>0.0641</v>
      </c>
      <c r="F226" s="570">
        <f>B226*C225*E226/I226</f>
        <v>0</v>
      </c>
      <c r="G226" s="568"/>
      <c r="H226" s="571"/>
      <c r="I226" s="566">
        <v>365</v>
      </c>
    </row>
    <row r="227" spans="1:9" ht="12.75" outlineLevel="1">
      <c r="A227" s="572">
        <v>52047</v>
      </c>
      <c r="B227" s="568">
        <f>A227-A226</f>
        <v>-34</v>
      </c>
      <c r="C227" s="568">
        <f>C226-D227</f>
        <v>0</v>
      </c>
      <c r="D227" s="568"/>
      <c r="E227" s="573">
        <f>$E$11+$E$12</f>
        <v>0.0641</v>
      </c>
      <c r="F227" s="570">
        <f>B227*C226*E227/I227</f>
        <v>0</v>
      </c>
      <c r="G227" s="568"/>
      <c r="H227" s="571"/>
      <c r="I227" s="566">
        <v>365</v>
      </c>
    </row>
    <row r="228" spans="1:9" ht="12.75" outlineLevel="1">
      <c r="A228" s="572">
        <v>52139</v>
      </c>
      <c r="B228" s="568">
        <f>A228-A227</f>
        <v>92</v>
      </c>
      <c r="C228" s="568">
        <f>C227-D228</f>
        <v>0</v>
      </c>
      <c r="D228" s="568"/>
      <c r="E228" s="573">
        <f>$E$11+$E$12</f>
        <v>0.0641</v>
      </c>
      <c r="F228" s="570">
        <f>B228*C227*E228/I228</f>
        <v>0</v>
      </c>
      <c r="G228" s="568"/>
      <c r="H228" s="571"/>
      <c r="I228" s="566">
        <v>365</v>
      </c>
    </row>
    <row r="229" spans="1:9" ht="12.75" outlineLevel="1">
      <c r="A229" s="572">
        <v>52231</v>
      </c>
      <c r="B229" s="568">
        <f>A229-A228</f>
        <v>92</v>
      </c>
      <c r="C229" s="568">
        <f>C228-D229</f>
        <v>0</v>
      </c>
      <c r="D229" s="568"/>
      <c r="E229" s="573">
        <f>$E$11+$E$12</f>
        <v>0.0641</v>
      </c>
      <c r="F229" s="570">
        <f>B229*C228*E229/I229</f>
        <v>0</v>
      </c>
      <c r="G229" s="568"/>
      <c r="H229" s="571"/>
      <c r="I229" s="566">
        <v>365</v>
      </c>
    </row>
    <row r="230" spans="1:9" ht="12.75" outlineLevel="1">
      <c r="A230" s="574"/>
      <c r="B230" s="575"/>
      <c r="C230" s="575">
        <f>C229</f>
        <v>0</v>
      </c>
      <c r="D230" s="575">
        <f>SUM(D226:D229)</f>
        <v>0</v>
      </c>
      <c r="E230" s="576"/>
      <c r="F230" s="577">
        <f>SUM(F226:F229)</f>
        <v>0</v>
      </c>
      <c r="G230" s="575"/>
      <c r="H230" s="578"/>
      <c r="I230" s="566"/>
    </row>
    <row r="231" spans="1:9" ht="12.75" outlineLevel="1">
      <c r="A231" s="579"/>
      <c r="B231" s="579"/>
      <c r="C231" s="579"/>
      <c r="D231" s="579"/>
      <c r="E231" s="579"/>
      <c r="F231" s="579"/>
      <c r="G231" s="579"/>
      <c r="H231" s="579"/>
      <c r="I231" s="579"/>
    </row>
    <row r="232" spans="1:9" ht="12.75" outlineLevel="1">
      <c r="A232" s="579"/>
      <c r="B232" s="579"/>
      <c r="C232" s="579"/>
      <c r="D232" s="579"/>
      <c r="E232" s="579"/>
      <c r="F232" s="579"/>
      <c r="G232" s="579"/>
      <c r="H232" s="579"/>
      <c r="I232" s="579"/>
    </row>
    <row r="235" spans="2:5" ht="12.75">
      <c r="B235" s="255" t="s">
        <v>140</v>
      </c>
      <c r="C235" s="255" t="s">
        <v>141</v>
      </c>
      <c r="D235" s="257"/>
      <c r="E235" s="258">
        <f>+F30+F40+F50+F60+F70+F80+F90+F100+F110+F120+F130+F140+F150+F160+F170+F180+F230+F190+F200+F210+F220</f>
        <v>10672874.312876713</v>
      </c>
    </row>
    <row r="236" spans="2:5" ht="12.75">
      <c r="B236" s="255" t="s">
        <v>142</v>
      </c>
      <c r="C236" s="255" t="s">
        <v>141</v>
      </c>
      <c r="D236" s="257"/>
      <c r="E236" s="258">
        <v>0</v>
      </c>
    </row>
    <row r="237" spans="2:5" ht="12.75">
      <c r="B237" s="255"/>
      <c r="C237" s="255"/>
      <c r="D237" s="257"/>
      <c r="E237" s="258"/>
    </row>
    <row r="238" spans="2:5" ht="12.75">
      <c r="B238" s="316" t="s">
        <v>143</v>
      </c>
      <c r="C238" s="316" t="s">
        <v>141</v>
      </c>
      <c r="D238" s="317"/>
      <c r="E238" s="318">
        <f>E235+E236</f>
        <v>10672874.312876713</v>
      </c>
    </row>
    <row r="239" spans="2:5" ht="12.75">
      <c r="B239" s="316" t="s">
        <v>143</v>
      </c>
      <c r="C239" s="316" t="s">
        <v>144</v>
      </c>
      <c r="D239" s="317"/>
      <c r="E239" s="318">
        <f>E238/4.4465</f>
        <v>2400286.5878503793</v>
      </c>
    </row>
    <row r="240" spans="2:5" ht="12.75">
      <c r="B240" s="316" t="s">
        <v>145</v>
      </c>
      <c r="C240" s="255"/>
      <c r="D240" s="257"/>
      <c r="E240" s="258"/>
    </row>
    <row r="245" spans="2:7" ht="12.75">
      <c r="B245" s="319"/>
      <c r="C245" s="320"/>
      <c r="D245" s="320"/>
      <c r="E245" s="865"/>
      <c r="F245" s="865"/>
      <c r="G245" s="865"/>
    </row>
    <row r="246" spans="2:7" ht="12.75">
      <c r="B246" s="319"/>
      <c r="C246" s="320"/>
      <c r="D246" s="320"/>
      <c r="E246" s="865"/>
      <c r="F246" s="865"/>
      <c r="G246" s="865"/>
    </row>
    <row r="247" spans="2:7" ht="12.75">
      <c r="B247" s="866"/>
      <c r="C247" s="866"/>
      <c r="D247" s="320"/>
      <c r="E247" s="865"/>
      <c r="F247" s="865"/>
      <c r="G247" s="865"/>
    </row>
    <row r="248" spans="2:7" ht="12.75" customHeight="1">
      <c r="B248" s="867" t="s">
        <v>146</v>
      </c>
      <c r="C248" s="867"/>
      <c r="D248" s="320"/>
      <c r="E248" s="868" t="s">
        <v>147</v>
      </c>
      <c r="F248" s="868"/>
      <c r="G248" s="868"/>
    </row>
    <row r="249" spans="2:7" ht="12.75">
      <c r="B249" s="319"/>
      <c r="C249" s="320"/>
      <c r="D249" s="320"/>
      <c r="E249" s="320"/>
      <c r="F249" s="321"/>
      <c r="G249" s="322"/>
    </row>
  </sheetData>
  <sheetProtection selectLockedCells="1" selectUnlockedCells="1"/>
  <mergeCells count="36">
    <mergeCell ref="A1:B1"/>
    <mergeCell ref="A2:B2"/>
    <mergeCell ref="A3:B3"/>
    <mergeCell ref="A4:B4"/>
    <mergeCell ref="A6:B6"/>
    <mergeCell ref="A8:F8"/>
    <mergeCell ref="M14:O16"/>
    <mergeCell ref="A15:F15"/>
    <mergeCell ref="A16:F16"/>
    <mergeCell ref="A17:F17"/>
    <mergeCell ref="A18:F18"/>
    <mergeCell ref="A22:H22"/>
    <mergeCell ref="A32:H32"/>
    <mergeCell ref="A42:H42"/>
    <mergeCell ref="A52:H52"/>
    <mergeCell ref="A62:H62"/>
    <mergeCell ref="A72:H72"/>
    <mergeCell ref="A82:H82"/>
    <mergeCell ref="A92:H92"/>
    <mergeCell ref="A102:H102"/>
    <mergeCell ref="A112:H112"/>
    <mergeCell ref="A122:H122"/>
    <mergeCell ref="A132:H132"/>
    <mergeCell ref="A142:H142"/>
    <mergeCell ref="A152:H152"/>
    <mergeCell ref="A162:H162"/>
    <mergeCell ref="A172:H172"/>
    <mergeCell ref="A182:H182"/>
    <mergeCell ref="A192:H192"/>
    <mergeCell ref="A202:H202"/>
    <mergeCell ref="A212:H212"/>
    <mergeCell ref="A222:H222"/>
    <mergeCell ref="E245:G247"/>
    <mergeCell ref="B247:C247"/>
    <mergeCell ref="B248:C248"/>
    <mergeCell ref="E248:G24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8"/>
  <sheetViews>
    <sheetView zoomScalePageLayoutView="0" workbookViewId="0" topLeftCell="A1">
      <selection activeCell="F47" sqref="F47"/>
    </sheetView>
  </sheetViews>
  <sheetFormatPr defaultColWidth="9.140625" defaultRowHeight="12.75" outlineLevelRow="1"/>
  <cols>
    <col min="2" max="2" width="15.00390625" style="0" customWidth="1"/>
    <col min="3" max="3" width="26.00390625" style="0" customWidth="1"/>
    <col min="4" max="4" width="13.57421875" style="0" customWidth="1"/>
    <col min="5" max="5" width="11.28125" style="0" customWidth="1"/>
    <col min="6" max="6" width="10.7109375" style="0" customWidth="1"/>
    <col min="14" max="14" width="14.8515625" style="0" customWidth="1"/>
    <col min="15" max="15" width="19.140625" style="0" customWidth="1"/>
    <col min="16" max="16" width="14.421875" style="0" customWidth="1"/>
    <col min="17" max="17" width="13.57421875" style="0" customWidth="1"/>
  </cols>
  <sheetData>
    <row r="1" spans="1:10" ht="12.75" customHeight="1">
      <c r="A1" s="873" t="s">
        <v>98</v>
      </c>
      <c r="B1" s="873"/>
      <c r="C1" s="254"/>
      <c r="D1" s="254"/>
      <c r="E1" s="254"/>
      <c r="F1" s="254"/>
      <c r="G1" s="255"/>
      <c r="H1" s="255"/>
      <c r="I1" s="256"/>
      <c r="J1" s="256"/>
    </row>
    <row r="2" spans="1:10" ht="12.75">
      <c r="A2" s="874"/>
      <c r="B2" s="874"/>
      <c r="C2" s="254"/>
      <c r="D2" s="254"/>
      <c r="E2" s="254"/>
      <c r="F2" s="254"/>
      <c r="G2" s="255"/>
      <c r="H2" s="255"/>
      <c r="I2" s="256"/>
      <c r="J2" s="256"/>
    </row>
    <row r="3" spans="1:10" ht="12.75">
      <c r="A3" s="875"/>
      <c r="B3" s="875"/>
      <c r="C3" s="254"/>
      <c r="D3" s="254"/>
      <c r="E3" s="254"/>
      <c r="F3" s="254"/>
      <c r="G3" s="255"/>
      <c r="H3" s="255"/>
      <c r="I3" s="256"/>
      <c r="J3" s="256"/>
    </row>
    <row r="4" spans="1:10" ht="12.75" customHeight="1">
      <c r="A4" s="876" t="s">
        <v>99</v>
      </c>
      <c r="B4" s="876"/>
      <c r="C4" s="254"/>
      <c r="D4" s="254"/>
      <c r="E4" s="254"/>
      <c r="F4" s="254"/>
      <c r="G4" s="255"/>
      <c r="H4" s="255"/>
      <c r="I4" s="256"/>
      <c r="J4" s="256"/>
    </row>
    <row r="5" spans="1:10" ht="12.75">
      <c r="A5" s="254"/>
      <c r="B5" s="254"/>
      <c r="C5" s="254"/>
      <c r="D5" s="254"/>
      <c r="E5" s="254"/>
      <c r="F5" s="254"/>
      <c r="G5" s="255"/>
      <c r="H5" s="255"/>
      <c r="I5" s="256"/>
      <c r="J5" s="256"/>
    </row>
    <row r="6" spans="1:10" ht="12.75" customHeight="1">
      <c r="A6" s="877" t="s">
        <v>217</v>
      </c>
      <c r="B6" s="877"/>
      <c r="C6" s="254"/>
      <c r="D6" s="254"/>
      <c r="E6" s="254"/>
      <c r="F6" s="254"/>
      <c r="G6" s="255"/>
      <c r="H6" s="255"/>
      <c r="I6" s="256"/>
      <c r="J6" s="256"/>
    </row>
    <row r="7" spans="1:10" ht="12.75">
      <c r="A7" s="254"/>
      <c r="B7" s="254"/>
      <c r="C7" s="254"/>
      <c r="D7" s="254"/>
      <c r="E7" s="254"/>
      <c r="F7" s="254"/>
      <c r="G7" s="255"/>
      <c r="H7" s="255"/>
      <c r="I7" s="256"/>
      <c r="J7" s="256"/>
    </row>
    <row r="8" spans="1:10" ht="35.25" customHeight="1">
      <c r="A8" s="878" t="s">
        <v>218</v>
      </c>
      <c r="B8" s="878"/>
      <c r="C8" s="878"/>
      <c r="D8" s="878"/>
      <c r="E8" s="878"/>
      <c r="F8" s="878"/>
      <c r="G8" s="255"/>
      <c r="H8" s="255"/>
      <c r="I8" s="256"/>
      <c r="J8" s="256"/>
    </row>
    <row r="9" spans="1:10" ht="12.75">
      <c r="A9" s="256"/>
      <c r="B9" s="255"/>
      <c r="C9" s="255"/>
      <c r="D9" s="255"/>
      <c r="E9" s="257"/>
      <c r="F9" s="258"/>
      <c r="G9" s="255"/>
      <c r="H9" s="255"/>
      <c r="I9" s="256"/>
      <c r="J9" s="256"/>
    </row>
    <row r="10" spans="1:10" ht="12.75">
      <c r="A10" s="256"/>
      <c r="B10" s="255"/>
      <c r="C10" s="255"/>
      <c r="D10" s="255"/>
      <c r="E10" s="257"/>
      <c r="F10" s="258"/>
      <c r="G10" s="255"/>
      <c r="H10" s="255"/>
      <c r="I10" s="256"/>
      <c r="J10" s="256"/>
    </row>
    <row r="11" spans="1:10" ht="12.75">
      <c r="A11" s="256" t="s">
        <v>204</v>
      </c>
      <c r="B11" s="255"/>
      <c r="C11" s="255"/>
      <c r="D11" s="255"/>
      <c r="E11" s="560">
        <v>0.0589</v>
      </c>
      <c r="F11" s="258"/>
      <c r="G11" s="255"/>
      <c r="H11" s="255"/>
      <c r="I11" s="256"/>
      <c r="J11" s="256"/>
    </row>
    <row r="12" spans="1:10" ht="12.75">
      <c r="A12" s="256" t="s">
        <v>103</v>
      </c>
      <c r="B12" s="255"/>
      <c r="C12" s="255"/>
      <c r="D12" s="255"/>
      <c r="E12" s="260">
        <v>0.0052</v>
      </c>
      <c r="F12" s="258"/>
      <c r="G12" s="255"/>
      <c r="H12" s="255"/>
      <c r="I12" s="256"/>
      <c r="J12" s="256"/>
    </row>
    <row r="13" spans="1:10" ht="12.75">
      <c r="A13" s="256" t="s">
        <v>104</v>
      </c>
      <c r="B13" s="255"/>
      <c r="C13" s="255"/>
      <c r="D13" s="255"/>
      <c r="E13" s="261">
        <v>44896</v>
      </c>
      <c r="F13" s="258"/>
      <c r="G13" s="255"/>
      <c r="H13" s="255"/>
      <c r="I13" s="256"/>
      <c r="J13" s="256"/>
    </row>
    <row r="14" spans="1:15" ht="12.75">
      <c r="A14" s="256"/>
      <c r="B14" s="255"/>
      <c r="C14" s="255"/>
      <c r="D14" s="255"/>
      <c r="E14" s="262"/>
      <c r="F14" s="258"/>
      <c r="G14" s="255"/>
      <c r="H14" s="255"/>
      <c r="I14" s="256"/>
      <c r="J14" s="256"/>
      <c r="M14" s="869" t="s">
        <v>219</v>
      </c>
      <c r="N14" s="869"/>
      <c r="O14" s="869"/>
    </row>
    <row r="15" spans="1:15" ht="12.75">
      <c r="A15" s="870" t="s">
        <v>106</v>
      </c>
      <c r="B15" s="870"/>
      <c r="C15" s="870"/>
      <c r="D15" s="870"/>
      <c r="E15" s="870"/>
      <c r="F15" s="870"/>
      <c r="G15" s="255"/>
      <c r="H15" s="255"/>
      <c r="I15" s="256"/>
      <c r="J15" s="256"/>
      <c r="M15" s="869"/>
      <c r="N15" s="869"/>
      <c r="O15" s="869"/>
    </row>
    <row r="16" spans="1:15" ht="13.5" customHeight="1">
      <c r="A16" s="871" t="s">
        <v>107</v>
      </c>
      <c r="B16" s="871"/>
      <c r="C16" s="871"/>
      <c r="D16" s="871"/>
      <c r="E16" s="871"/>
      <c r="F16" s="871"/>
      <c r="G16" s="255"/>
      <c r="H16" s="255"/>
      <c r="I16" s="256"/>
      <c r="J16" s="256"/>
      <c r="M16" s="869"/>
      <c r="N16" s="869"/>
      <c r="O16" s="869"/>
    </row>
    <row r="17" spans="1:15" ht="30" customHeight="1">
      <c r="A17" s="871" t="s">
        <v>108</v>
      </c>
      <c r="B17" s="871"/>
      <c r="C17" s="871"/>
      <c r="D17" s="871"/>
      <c r="E17" s="871"/>
      <c r="F17" s="871"/>
      <c r="G17" s="255"/>
      <c r="H17" s="255"/>
      <c r="I17" s="256"/>
      <c r="J17" s="256"/>
      <c r="M17" s="477" t="s">
        <v>109</v>
      </c>
      <c r="N17" s="478" t="s">
        <v>205</v>
      </c>
      <c r="O17" s="478" t="s">
        <v>206</v>
      </c>
    </row>
    <row r="18" spans="1:15" ht="12.75" customHeight="1">
      <c r="A18" s="872" t="s">
        <v>112</v>
      </c>
      <c r="B18" s="872"/>
      <c r="C18" s="872"/>
      <c r="D18" s="872"/>
      <c r="E18" s="872"/>
      <c r="F18" s="872"/>
      <c r="G18" s="255"/>
      <c r="H18" s="255"/>
      <c r="I18" s="256"/>
      <c r="J18" s="256"/>
      <c r="M18" s="265">
        <v>2022</v>
      </c>
      <c r="N18" s="266">
        <f>F30</f>
        <v>0</v>
      </c>
      <c r="O18" s="266">
        <f>D30</f>
        <v>0</v>
      </c>
    </row>
    <row r="19" spans="1:15" ht="12.75">
      <c r="A19" s="267"/>
      <c r="B19" s="268"/>
      <c r="C19" s="268"/>
      <c r="D19" s="268"/>
      <c r="E19" s="269"/>
      <c r="F19" s="270"/>
      <c r="G19" s="255"/>
      <c r="H19" s="255"/>
      <c r="I19" s="256"/>
      <c r="J19" s="256"/>
      <c r="M19" s="265">
        <v>2023</v>
      </c>
      <c r="N19" s="266">
        <f>F40</f>
        <v>250252.19999999998</v>
      </c>
      <c r="O19" s="266">
        <f>D40</f>
        <v>0</v>
      </c>
    </row>
    <row r="20" spans="1:15" ht="12.75">
      <c r="A20" s="256"/>
      <c r="B20" s="255"/>
      <c r="C20" s="255"/>
      <c r="D20" s="255"/>
      <c r="E20" s="257"/>
      <c r="F20" s="258"/>
      <c r="G20" s="255"/>
      <c r="H20" s="255"/>
      <c r="I20" s="256"/>
      <c r="J20" s="256"/>
      <c r="M20" s="265">
        <v>2024</v>
      </c>
      <c r="N20" s="266">
        <f>F50</f>
        <v>1284302.7705479453</v>
      </c>
      <c r="O20" s="266">
        <f>D50</f>
        <v>50000</v>
      </c>
    </row>
    <row r="21" spans="1:15" ht="12.75">
      <c r="A21" s="291"/>
      <c r="B21" s="282"/>
      <c r="C21" s="282"/>
      <c r="D21" s="282"/>
      <c r="E21" s="284"/>
      <c r="F21" s="285"/>
      <c r="G21" s="282"/>
      <c r="H21" s="286"/>
      <c r="I21" s="256"/>
      <c r="J21" s="256"/>
      <c r="M21" s="265">
        <v>2025</v>
      </c>
      <c r="N21" s="266">
        <f>F60</f>
        <v>1276375.883561644</v>
      </c>
      <c r="O21" s="266">
        <f>D60</f>
        <v>100000</v>
      </c>
    </row>
    <row r="22" spans="1:15" ht="12.75" outlineLevel="1">
      <c r="A22" s="864" t="s">
        <v>113</v>
      </c>
      <c r="B22" s="864"/>
      <c r="C22" s="864"/>
      <c r="D22" s="864"/>
      <c r="E22" s="864"/>
      <c r="F22" s="864"/>
      <c r="G22" s="864"/>
      <c r="H22" s="864"/>
      <c r="I22" s="256"/>
      <c r="J22" s="256"/>
      <c r="M22" s="265">
        <v>2026</v>
      </c>
      <c r="N22" s="266">
        <f>F70</f>
        <v>1236098.2534246575</v>
      </c>
      <c r="O22" s="266">
        <f>D70</f>
        <v>1500000</v>
      </c>
    </row>
    <row r="23" spans="1:15" ht="12.75" outlineLevel="1">
      <c r="A23" s="271"/>
      <c r="B23" s="272"/>
      <c r="C23" s="272"/>
      <c r="D23" s="272"/>
      <c r="E23" s="273"/>
      <c r="F23" s="274"/>
      <c r="G23" s="272"/>
      <c r="H23" s="275"/>
      <c r="I23" s="256"/>
      <c r="J23" s="256"/>
      <c r="M23" s="265">
        <v>2027</v>
      </c>
      <c r="N23" s="266">
        <f>F80</f>
        <v>1152043.8356164382</v>
      </c>
      <c r="O23" s="266">
        <f>D80</f>
        <v>1000000</v>
      </c>
    </row>
    <row r="24" spans="1:15" ht="15" customHeight="1" outlineLevel="1">
      <c r="A24" s="276" t="s">
        <v>114</v>
      </c>
      <c r="B24" s="277" t="s">
        <v>115</v>
      </c>
      <c r="C24" s="277" t="s">
        <v>116</v>
      </c>
      <c r="D24" s="277" t="s">
        <v>117</v>
      </c>
      <c r="E24" s="278" t="s">
        <v>118</v>
      </c>
      <c r="F24" s="279" t="s">
        <v>48</v>
      </c>
      <c r="G24" s="277"/>
      <c r="H24" s="280"/>
      <c r="I24" s="256"/>
      <c r="J24" s="256"/>
      <c r="M24" s="265">
        <v>2028</v>
      </c>
      <c r="N24" s="266">
        <f>F90</f>
        <v>1112762.8287671232</v>
      </c>
      <c r="O24" s="266">
        <f>D90</f>
        <v>100000</v>
      </c>
    </row>
    <row r="25" spans="1:15" ht="12.75" outlineLevel="1">
      <c r="A25" s="281" t="s">
        <v>121</v>
      </c>
      <c r="B25" s="282"/>
      <c r="C25" s="282"/>
      <c r="D25" s="282"/>
      <c r="E25" s="284"/>
      <c r="F25" s="285"/>
      <c r="G25" s="282"/>
      <c r="H25" s="286"/>
      <c r="I25" s="256"/>
      <c r="J25" s="256"/>
      <c r="M25" s="265">
        <v>2029</v>
      </c>
      <c r="N25" s="266">
        <f>F100</f>
        <v>1103305.8835616438</v>
      </c>
      <c r="O25" s="266">
        <f>D100</f>
        <v>100000</v>
      </c>
    </row>
    <row r="26" spans="1:15" ht="12.75" outlineLevel="1">
      <c r="A26" s="307">
        <v>44651</v>
      </c>
      <c r="B26" s="282"/>
      <c r="C26" s="282"/>
      <c r="D26" s="282"/>
      <c r="E26" s="308">
        <f>$E$11+$E$12</f>
        <v>0.0641</v>
      </c>
      <c r="F26" s="285"/>
      <c r="G26" s="282"/>
      <c r="H26" s="286"/>
      <c r="I26" s="256">
        <v>365</v>
      </c>
      <c r="J26" s="256"/>
      <c r="M26" s="265">
        <v>2030</v>
      </c>
      <c r="N26" s="266">
        <f>F110</f>
        <v>1096895.8835616438</v>
      </c>
      <c r="O26" s="266">
        <f>D110</f>
        <v>100000</v>
      </c>
    </row>
    <row r="27" spans="1:15" ht="12.75" outlineLevel="1">
      <c r="A27" s="307">
        <v>44742</v>
      </c>
      <c r="B27" s="282">
        <v>91</v>
      </c>
      <c r="C27" s="282"/>
      <c r="D27" s="282">
        <v>0</v>
      </c>
      <c r="E27" s="308">
        <f>$E$11+$E$12</f>
        <v>0.0641</v>
      </c>
      <c r="F27" s="285">
        <f>B27*C26*E27/I27</f>
        <v>0</v>
      </c>
      <c r="G27" s="282"/>
      <c r="H27" s="286"/>
      <c r="I27" s="256">
        <v>365</v>
      </c>
      <c r="J27" s="256"/>
      <c r="M27" s="265">
        <v>2031</v>
      </c>
      <c r="N27" s="266">
        <f>F120</f>
        <v>1090485.8835616438</v>
      </c>
      <c r="O27" s="266">
        <f>D120</f>
        <v>100000</v>
      </c>
    </row>
    <row r="28" spans="1:15" ht="12.75" outlineLevel="1">
      <c r="A28" s="307">
        <v>44834</v>
      </c>
      <c r="B28" s="282">
        <f>A28-A27</f>
        <v>92</v>
      </c>
      <c r="C28" s="282"/>
      <c r="D28" s="282"/>
      <c r="E28" s="308">
        <f>$E$11+$E$12</f>
        <v>0.0641</v>
      </c>
      <c r="F28" s="285">
        <f>B28*C27*E28/I28</f>
        <v>0</v>
      </c>
      <c r="G28" s="282"/>
      <c r="H28" s="286"/>
      <c r="I28" s="256">
        <v>365</v>
      </c>
      <c r="J28" s="256"/>
      <c r="M28" s="265">
        <v>2032</v>
      </c>
      <c r="N28" s="266">
        <f>F130</f>
        <v>1077376.1164383562</v>
      </c>
      <c r="O28" s="266">
        <f>D130</f>
        <v>500000</v>
      </c>
    </row>
    <row r="29" spans="1:15" ht="12.75" outlineLevel="1">
      <c r="A29" s="307">
        <v>44926</v>
      </c>
      <c r="B29" s="282">
        <f>A29-A28</f>
        <v>92</v>
      </c>
      <c r="C29" s="282"/>
      <c r="D29" s="282"/>
      <c r="E29" s="308">
        <f>$E$11+$E$12</f>
        <v>0.0641</v>
      </c>
      <c r="F29" s="285">
        <f>B29*C28*E29/I29</f>
        <v>0</v>
      </c>
      <c r="G29" s="282"/>
      <c r="H29" s="286"/>
      <c r="I29" s="256">
        <v>365</v>
      </c>
      <c r="J29" s="256"/>
      <c r="M29" s="265">
        <v>2033</v>
      </c>
      <c r="N29" s="266">
        <f>F140</f>
        <v>1020577.3698630137</v>
      </c>
      <c r="O29" s="266">
        <f>D140</f>
        <v>1400000</v>
      </c>
    </row>
    <row r="30" spans="1:15" ht="12.75" outlineLevel="1">
      <c r="A30" s="309"/>
      <c r="B30" s="288"/>
      <c r="C30" s="283"/>
      <c r="D30" s="288">
        <f>SUM(D26:D29)</f>
        <v>0</v>
      </c>
      <c r="E30" s="289"/>
      <c r="F30" s="274">
        <f>SUM(F27:F29)</f>
        <v>0</v>
      </c>
      <c r="G30" s="288"/>
      <c r="H30" s="290"/>
      <c r="I30" s="256"/>
      <c r="J30" s="256"/>
      <c r="M30" s="265">
        <v>2034</v>
      </c>
      <c r="N30" s="266">
        <f>F150</f>
        <v>930837.3698630137</v>
      </c>
      <c r="O30" s="266">
        <f>D150</f>
        <v>1400000</v>
      </c>
    </row>
    <row r="31" spans="1:15" ht="12.75" outlineLevel="1">
      <c r="A31" s="291"/>
      <c r="B31" s="282"/>
      <c r="C31" s="282"/>
      <c r="D31" s="282"/>
      <c r="E31" s="284"/>
      <c r="F31" s="285"/>
      <c r="G31" s="282"/>
      <c r="H31" s="286"/>
      <c r="I31" s="256"/>
      <c r="J31" s="256"/>
      <c r="M31" s="265">
        <v>2035</v>
      </c>
      <c r="N31" s="266">
        <f>F160</f>
        <v>850773.8356164384</v>
      </c>
      <c r="O31" s="266">
        <f>D160</f>
        <v>1000000</v>
      </c>
    </row>
    <row r="32" spans="1:15" ht="12.75" outlineLevel="1">
      <c r="A32" s="864" t="s">
        <v>113</v>
      </c>
      <c r="B32" s="864"/>
      <c r="C32" s="864"/>
      <c r="D32" s="864"/>
      <c r="E32" s="864"/>
      <c r="F32" s="864"/>
      <c r="G32" s="864"/>
      <c r="H32" s="864"/>
      <c r="I32" s="256"/>
      <c r="J32" s="256"/>
      <c r="M32" s="265">
        <v>2036</v>
      </c>
      <c r="N32" s="266">
        <f>F170</f>
        <v>785266.7089041095</v>
      </c>
      <c r="O32" s="266">
        <f>D170</f>
        <v>1150000</v>
      </c>
    </row>
    <row r="33" spans="1:15" ht="12.75" outlineLevel="1">
      <c r="A33" s="271"/>
      <c r="B33" s="272"/>
      <c r="C33" s="272"/>
      <c r="D33" s="272"/>
      <c r="E33" s="273"/>
      <c r="F33" s="274"/>
      <c r="G33" s="272"/>
      <c r="H33" s="275"/>
      <c r="I33" s="256"/>
      <c r="J33" s="256"/>
      <c r="M33" s="265">
        <v>2037</v>
      </c>
      <c r="N33" s="266">
        <f>F180</f>
        <v>664576.5068493151</v>
      </c>
      <c r="O33" s="266">
        <f>D180</f>
        <v>3000000</v>
      </c>
    </row>
    <row r="34" spans="1:15" ht="15" customHeight="1" outlineLevel="1">
      <c r="A34" s="276" t="s">
        <v>114</v>
      </c>
      <c r="B34" s="277" t="s">
        <v>115</v>
      </c>
      <c r="C34" s="277" t="s">
        <v>116</v>
      </c>
      <c r="D34" s="277" t="s">
        <v>117</v>
      </c>
      <c r="E34" s="278" t="s">
        <v>118</v>
      </c>
      <c r="F34" s="279" t="s">
        <v>48</v>
      </c>
      <c r="G34" s="277"/>
      <c r="H34" s="280"/>
      <c r="I34" s="256"/>
      <c r="J34" s="256"/>
      <c r="M34" s="265">
        <v>2038</v>
      </c>
      <c r="N34" s="266">
        <f>F190</f>
        <v>496467.6712328767</v>
      </c>
      <c r="O34" s="266">
        <f>D190</f>
        <v>2000000</v>
      </c>
    </row>
    <row r="35" spans="1:15" ht="12.75" outlineLevel="1">
      <c r="A35" s="281" t="s">
        <v>122</v>
      </c>
      <c r="B35" s="282"/>
      <c r="C35" s="282">
        <f>C30</f>
        <v>0</v>
      </c>
      <c r="D35" s="282"/>
      <c r="E35" s="284"/>
      <c r="F35" s="285"/>
      <c r="G35" s="282"/>
      <c r="H35" s="286"/>
      <c r="I35" s="256"/>
      <c r="J35" s="256"/>
      <c r="M35" s="265">
        <v>2039</v>
      </c>
      <c r="N35" s="266">
        <f>F200</f>
        <v>368267.6712328768</v>
      </c>
      <c r="O35" s="266">
        <f>D200</f>
        <v>2000000</v>
      </c>
    </row>
    <row r="36" spans="1:15" ht="12.75" outlineLevel="1">
      <c r="A36" s="307">
        <v>45016</v>
      </c>
      <c r="B36" s="282">
        <f>A36-A29</f>
        <v>90</v>
      </c>
      <c r="C36" s="282">
        <f>C35-D36</f>
        <v>0</v>
      </c>
      <c r="D36" s="282"/>
      <c r="E36" s="308">
        <f>$E$11+$E$12</f>
        <v>0.0641</v>
      </c>
      <c r="F36" s="285">
        <f>B36*C35*E36/I36</f>
        <v>0</v>
      </c>
      <c r="G36" s="282"/>
      <c r="H36" s="286"/>
      <c r="I36" s="256">
        <v>365</v>
      </c>
      <c r="J36" s="256"/>
      <c r="M36" s="265">
        <v>2040</v>
      </c>
      <c r="N36" s="266">
        <f>F210</f>
        <v>240857.94520547945</v>
      </c>
      <c r="O36" s="266">
        <f>D210</f>
        <v>2000000</v>
      </c>
    </row>
    <row r="37" spans="1:15" ht="12.75" outlineLevel="1">
      <c r="A37" s="307">
        <v>45107</v>
      </c>
      <c r="B37" s="282">
        <f>A37-A36</f>
        <v>91</v>
      </c>
      <c r="C37" s="282">
        <v>5890000</v>
      </c>
      <c r="D37" s="282"/>
      <c r="E37" s="308">
        <f>$E$11+$E$12</f>
        <v>0.0641</v>
      </c>
      <c r="F37" s="784">
        <v>51159.45</v>
      </c>
      <c r="G37" s="282"/>
      <c r="H37" s="286"/>
      <c r="I37" s="256">
        <v>365</v>
      </c>
      <c r="J37" s="256"/>
      <c r="M37" s="265">
        <v>2041</v>
      </c>
      <c r="N37" s="266">
        <f>F220</f>
        <v>99772.0890410959</v>
      </c>
      <c r="O37" s="266">
        <f>D220</f>
        <v>2500000</v>
      </c>
    </row>
    <row r="38" spans="1:15" ht="12.75" outlineLevel="1">
      <c r="A38" s="307">
        <v>45199</v>
      </c>
      <c r="B38" s="282">
        <f>A38-A37</f>
        <v>92</v>
      </c>
      <c r="C38" s="282">
        <f>C37-D38</f>
        <v>5890000</v>
      </c>
      <c r="D38" s="282"/>
      <c r="E38" s="308">
        <f>$E$11+$E$12</f>
        <v>0.0641</v>
      </c>
      <c r="F38" s="784">
        <v>90132.59</v>
      </c>
      <c r="G38" s="282"/>
      <c r="H38" s="286"/>
      <c r="I38" s="256">
        <v>365</v>
      </c>
      <c r="J38" s="256"/>
      <c r="M38" s="265">
        <v>2042</v>
      </c>
      <c r="N38" s="266">
        <f>F230</f>
        <v>0</v>
      </c>
      <c r="O38" s="266">
        <f>D230</f>
        <v>0</v>
      </c>
    </row>
    <row r="39" spans="1:15" ht="12.75" outlineLevel="1">
      <c r="A39" s="307">
        <v>45291</v>
      </c>
      <c r="B39" s="282">
        <f>A39-A38</f>
        <v>92</v>
      </c>
      <c r="C39" s="282">
        <f>C38-D39</f>
        <v>5890000</v>
      </c>
      <c r="D39" s="282"/>
      <c r="E39" s="308">
        <f>$E$11+$E$12</f>
        <v>0.0641</v>
      </c>
      <c r="F39" s="784">
        <v>108960.16</v>
      </c>
      <c r="G39" s="282"/>
      <c r="H39" s="286"/>
      <c r="I39" s="256">
        <v>365</v>
      </c>
      <c r="J39" s="256"/>
      <c r="M39" s="265">
        <v>2043</v>
      </c>
      <c r="N39" s="266">
        <f>F242</f>
        <v>0</v>
      </c>
      <c r="O39" s="266">
        <f>D242</f>
        <v>0</v>
      </c>
    </row>
    <row r="40" spans="1:15" ht="12.75" outlineLevel="1">
      <c r="A40" s="309"/>
      <c r="B40" s="288"/>
      <c r="C40" s="288">
        <v>20000000</v>
      </c>
      <c r="D40" s="288">
        <f>SUM(D36:D39)</f>
        <v>0</v>
      </c>
      <c r="E40" s="289"/>
      <c r="F40" s="274">
        <f>SUM(F36:F39)</f>
        <v>250252.19999999998</v>
      </c>
      <c r="G40" s="288"/>
      <c r="H40" s="290"/>
      <c r="I40" s="256"/>
      <c r="J40" s="256"/>
      <c r="M40" s="265">
        <v>2044</v>
      </c>
      <c r="N40" s="266">
        <f>F254</f>
        <v>0</v>
      </c>
      <c r="O40" s="266">
        <f>D254</f>
        <v>0</v>
      </c>
    </row>
    <row r="41" spans="1:15" ht="12.75" outlineLevel="1">
      <c r="A41" s="291"/>
      <c r="B41" s="282"/>
      <c r="C41" s="282"/>
      <c r="D41" s="282"/>
      <c r="E41" s="284"/>
      <c r="F41" s="285"/>
      <c r="G41" s="282"/>
      <c r="H41" s="286"/>
      <c r="I41" s="256"/>
      <c r="J41" s="256"/>
      <c r="M41" s="265">
        <v>2045</v>
      </c>
      <c r="N41" s="655">
        <f>F266</f>
        <v>0</v>
      </c>
      <c r="O41" s="266">
        <f>D266</f>
        <v>0</v>
      </c>
    </row>
    <row r="42" spans="1:15" ht="12.75" outlineLevel="1">
      <c r="A42" s="864" t="s">
        <v>113</v>
      </c>
      <c r="B42" s="864"/>
      <c r="C42" s="864"/>
      <c r="D42" s="864"/>
      <c r="E42" s="864"/>
      <c r="F42" s="864"/>
      <c r="G42" s="864"/>
      <c r="H42" s="864"/>
      <c r="I42" s="256"/>
      <c r="J42" s="256"/>
      <c r="M42" s="656" t="s">
        <v>42</v>
      </c>
      <c r="N42" s="657">
        <f>SUM(N18:N41)</f>
        <v>16137296.706849316</v>
      </c>
      <c r="O42" s="658">
        <f>SUM(O18:O41)</f>
        <v>20000000</v>
      </c>
    </row>
    <row r="43" spans="1:10" ht="12.75" outlineLevel="1">
      <c r="A43" s="271"/>
      <c r="B43" s="272"/>
      <c r="C43" s="272"/>
      <c r="D43" s="272"/>
      <c r="E43" s="273"/>
      <c r="F43" s="274"/>
      <c r="G43" s="272"/>
      <c r="H43" s="275"/>
      <c r="I43" s="256"/>
      <c r="J43" s="256"/>
    </row>
    <row r="44" spans="1:10" ht="22.5" outlineLevel="1">
      <c r="A44" s="276" t="s">
        <v>114</v>
      </c>
      <c r="B44" s="277" t="s">
        <v>115</v>
      </c>
      <c r="C44" s="277" t="s">
        <v>116</v>
      </c>
      <c r="D44" s="277" t="s">
        <v>117</v>
      </c>
      <c r="E44" s="278" t="s">
        <v>118</v>
      </c>
      <c r="F44" s="279" t="s">
        <v>48</v>
      </c>
      <c r="G44" s="277"/>
      <c r="H44" s="280"/>
      <c r="I44" s="256"/>
      <c r="J44" s="256"/>
    </row>
    <row r="45" spans="1:10" ht="12.75" outlineLevel="1">
      <c r="A45" s="281" t="s">
        <v>123</v>
      </c>
      <c r="B45" s="282"/>
      <c r="C45" s="282">
        <f>C40</f>
        <v>20000000</v>
      </c>
      <c r="D45" s="282"/>
      <c r="E45" s="284"/>
      <c r="F45" s="285"/>
      <c r="G45" s="282"/>
      <c r="H45" s="286"/>
      <c r="I45" s="256"/>
      <c r="J45" s="256"/>
    </row>
    <row r="46" spans="1:10" ht="12.75" outlineLevel="1">
      <c r="A46" s="307">
        <v>45382</v>
      </c>
      <c r="B46" s="282">
        <f>A46-A39</f>
        <v>91</v>
      </c>
      <c r="C46" s="282">
        <f>C45-D46</f>
        <v>19987500</v>
      </c>
      <c r="D46" s="282">
        <v>12500</v>
      </c>
      <c r="E46" s="308">
        <f>$E$11+$E$12</f>
        <v>0.0641</v>
      </c>
      <c r="F46" s="285">
        <f>B46*C45*E46/I46</f>
        <v>319621.9178082192</v>
      </c>
      <c r="G46" s="282"/>
      <c r="H46" s="286"/>
      <c r="I46" s="256">
        <v>365</v>
      </c>
      <c r="J46" s="256"/>
    </row>
    <row r="47" spans="1:10" ht="12.75" outlineLevel="1">
      <c r="A47" s="307">
        <v>45473</v>
      </c>
      <c r="B47" s="282">
        <f>A47-A46</f>
        <v>91</v>
      </c>
      <c r="C47" s="282">
        <f>C46-D47</f>
        <v>19975000</v>
      </c>
      <c r="D47" s="282">
        <v>12500</v>
      </c>
      <c r="E47" s="308">
        <f>$E$11+$E$12</f>
        <v>0.0641</v>
      </c>
      <c r="F47" s="285">
        <f>B47*C46*E47/I47</f>
        <v>319422.15410958906</v>
      </c>
      <c r="G47" s="282"/>
      <c r="H47" s="286"/>
      <c r="I47" s="256">
        <v>365</v>
      </c>
      <c r="J47" s="256"/>
    </row>
    <row r="48" spans="1:10" ht="12.75" outlineLevel="1">
      <c r="A48" s="307">
        <v>45565</v>
      </c>
      <c r="B48" s="282">
        <f>A48-A47</f>
        <v>92</v>
      </c>
      <c r="C48" s="282">
        <f>C47-D48</f>
        <v>19962500</v>
      </c>
      <c r="D48" s="282">
        <v>12500</v>
      </c>
      <c r="E48" s="308">
        <f>$E$11+$E$12</f>
        <v>0.0641</v>
      </c>
      <c r="F48" s="285">
        <f>B48*C47*E48/I48</f>
        <v>322730.32876712334</v>
      </c>
      <c r="G48" s="282"/>
      <c r="H48" s="286"/>
      <c r="I48" s="256">
        <v>365</v>
      </c>
      <c r="J48" s="256"/>
    </row>
    <row r="49" spans="1:10" ht="12.75" outlineLevel="1">
      <c r="A49" s="307">
        <v>45657</v>
      </c>
      <c r="B49" s="282">
        <f>A49-A48</f>
        <v>92</v>
      </c>
      <c r="C49" s="282">
        <f>C48-D49</f>
        <v>19950000</v>
      </c>
      <c r="D49" s="282">
        <v>12500</v>
      </c>
      <c r="E49" s="308">
        <f>$E$11+$E$12</f>
        <v>0.0641</v>
      </c>
      <c r="F49" s="285">
        <f>B49*C48*E49/I49</f>
        <v>322528.36986301374</v>
      </c>
      <c r="G49" s="282"/>
      <c r="H49" s="286"/>
      <c r="I49" s="256">
        <v>365</v>
      </c>
      <c r="J49" s="256"/>
    </row>
    <row r="50" spans="1:10" ht="12.75" outlineLevel="1">
      <c r="A50" s="309"/>
      <c r="B50" s="288"/>
      <c r="C50" s="288">
        <f>C49</f>
        <v>19950000</v>
      </c>
      <c r="D50" s="288">
        <f>SUM(D46:D49)</f>
        <v>50000</v>
      </c>
      <c r="E50" s="289"/>
      <c r="F50" s="274">
        <f>SUM(F46:F49)</f>
        <v>1284302.7705479453</v>
      </c>
      <c r="G50" s="288"/>
      <c r="H50" s="290"/>
      <c r="I50" s="256"/>
      <c r="J50" s="256"/>
    </row>
    <row r="51" spans="1:10" ht="12.75" outlineLevel="1">
      <c r="A51" s="291"/>
      <c r="B51" s="282"/>
      <c r="C51" s="282"/>
      <c r="D51" s="282"/>
      <c r="E51" s="284"/>
      <c r="F51" s="285"/>
      <c r="G51" s="282"/>
      <c r="H51" s="282"/>
      <c r="I51" s="256"/>
      <c r="J51" s="256"/>
    </row>
    <row r="52" spans="1:10" ht="12.75" outlineLevel="1">
      <c r="A52" s="864" t="s">
        <v>113</v>
      </c>
      <c r="B52" s="864"/>
      <c r="C52" s="864"/>
      <c r="D52" s="864"/>
      <c r="E52" s="864"/>
      <c r="F52" s="864"/>
      <c r="G52" s="864"/>
      <c r="H52" s="864"/>
      <c r="I52" s="256"/>
      <c r="J52" s="256"/>
    </row>
    <row r="53" spans="1:10" ht="12.75" outlineLevel="1">
      <c r="A53" s="271"/>
      <c r="B53" s="272"/>
      <c r="C53" s="272"/>
      <c r="D53" s="272"/>
      <c r="E53" s="273"/>
      <c r="F53" s="274"/>
      <c r="G53" s="272"/>
      <c r="H53" s="275"/>
      <c r="I53" s="256"/>
      <c r="J53" s="256"/>
    </row>
    <row r="54" spans="1:10" ht="22.5" outlineLevel="1">
      <c r="A54" s="276" t="s">
        <v>114</v>
      </c>
      <c r="B54" s="277" t="s">
        <v>115</v>
      </c>
      <c r="C54" s="277" t="s">
        <v>116</v>
      </c>
      <c r="D54" s="277" t="s">
        <v>117</v>
      </c>
      <c r="E54" s="278" t="s">
        <v>118</v>
      </c>
      <c r="F54" s="279" t="s">
        <v>48</v>
      </c>
      <c r="G54" s="277"/>
      <c r="H54" s="280"/>
      <c r="I54" s="256"/>
      <c r="J54" s="256"/>
    </row>
    <row r="55" spans="1:10" ht="12.75" outlineLevel="1">
      <c r="A55" s="281" t="s">
        <v>207</v>
      </c>
      <c r="B55" s="282"/>
      <c r="C55" s="282">
        <f>C50</f>
        <v>19950000</v>
      </c>
      <c r="D55" s="282"/>
      <c r="E55" s="284"/>
      <c r="F55" s="285"/>
      <c r="G55" s="282"/>
      <c r="H55" s="286"/>
      <c r="I55" s="256"/>
      <c r="J55" s="256"/>
    </row>
    <row r="56" spans="1:10" ht="12.75" outlineLevel="1">
      <c r="A56" s="307">
        <v>45747</v>
      </c>
      <c r="B56" s="282">
        <v>90</v>
      </c>
      <c r="C56" s="282">
        <f>C55-D56</f>
        <v>19925000</v>
      </c>
      <c r="D56" s="282">
        <v>25000</v>
      </c>
      <c r="E56" s="308">
        <f>$E$11+$E$12</f>
        <v>0.0641</v>
      </c>
      <c r="F56" s="285">
        <f>B56*C55*E56/I56</f>
        <v>315319.3150684932</v>
      </c>
      <c r="G56" s="282"/>
      <c r="H56" s="286"/>
      <c r="I56" s="256">
        <v>365</v>
      </c>
      <c r="J56" s="256"/>
    </row>
    <row r="57" spans="1:10" ht="12.75" outlineLevel="1">
      <c r="A57" s="307">
        <v>45838</v>
      </c>
      <c r="B57" s="282">
        <f>A57-A56</f>
        <v>91</v>
      </c>
      <c r="C57" s="282">
        <f>C56-D57</f>
        <v>19900000</v>
      </c>
      <c r="D57" s="282">
        <v>25000</v>
      </c>
      <c r="E57" s="308">
        <f>$E$11+$E$12</f>
        <v>0.0641</v>
      </c>
      <c r="F57" s="285">
        <f>B57*C56*E57/I57</f>
        <v>318423.3356164384</v>
      </c>
      <c r="G57" s="282"/>
      <c r="H57" s="286"/>
      <c r="I57" s="256">
        <v>365</v>
      </c>
      <c r="J57" s="256"/>
    </row>
    <row r="58" spans="1:10" ht="12.75" outlineLevel="1">
      <c r="A58" s="307">
        <v>45930</v>
      </c>
      <c r="B58" s="282">
        <f>A58-A57</f>
        <v>92</v>
      </c>
      <c r="C58" s="282">
        <f>C57-D58</f>
        <v>19875000</v>
      </c>
      <c r="D58" s="282">
        <v>25000</v>
      </c>
      <c r="E58" s="308">
        <f>$E$11+$E$12</f>
        <v>0.0641</v>
      </c>
      <c r="F58" s="285">
        <f>B58*C57*E58/I58</f>
        <v>321518.5753424658</v>
      </c>
      <c r="G58" s="282"/>
      <c r="H58" s="286"/>
      <c r="I58" s="256">
        <v>365</v>
      </c>
      <c r="J58" s="256"/>
    </row>
    <row r="59" spans="1:10" ht="12.75" outlineLevel="1">
      <c r="A59" s="307">
        <v>46022</v>
      </c>
      <c r="B59" s="282">
        <f>A59-A58</f>
        <v>92</v>
      </c>
      <c r="C59" s="282">
        <f>C58-D59</f>
        <v>19850000</v>
      </c>
      <c r="D59" s="282">
        <v>25000</v>
      </c>
      <c r="E59" s="308">
        <f>$E$11+$E$12</f>
        <v>0.0641</v>
      </c>
      <c r="F59" s="285">
        <f>B59*C58*E59/I59</f>
        <v>321114.6575342466</v>
      </c>
      <c r="G59" s="282"/>
      <c r="H59" s="286"/>
      <c r="I59" s="256">
        <v>365</v>
      </c>
      <c r="J59" s="256"/>
    </row>
    <row r="60" spans="1:10" ht="12.75" outlineLevel="1">
      <c r="A60" s="309"/>
      <c r="B60" s="288"/>
      <c r="C60" s="288">
        <f>C59</f>
        <v>19850000</v>
      </c>
      <c r="D60" s="288">
        <f>SUM(D56:D59)</f>
        <v>100000</v>
      </c>
      <c r="E60" s="289"/>
      <c r="F60" s="274">
        <f>SUM(F56:F59)</f>
        <v>1276375.883561644</v>
      </c>
      <c r="G60" s="288"/>
      <c r="H60" s="290"/>
      <c r="I60" s="256"/>
      <c r="J60" s="256"/>
    </row>
    <row r="61" spans="1:10" ht="12.75" outlineLevel="1">
      <c r="A61" s="291"/>
      <c r="B61" s="282"/>
      <c r="C61" s="282"/>
      <c r="D61" s="282"/>
      <c r="E61" s="284"/>
      <c r="F61" s="285"/>
      <c r="G61" s="282"/>
      <c r="H61" s="282"/>
      <c r="I61" s="256"/>
      <c r="J61" s="256"/>
    </row>
    <row r="62" spans="1:10" ht="12.75" outlineLevel="1">
      <c r="A62" s="864" t="s">
        <v>113</v>
      </c>
      <c r="B62" s="864"/>
      <c r="C62" s="864"/>
      <c r="D62" s="864"/>
      <c r="E62" s="864"/>
      <c r="F62" s="864"/>
      <c r="G62" s="864"/>
      <c r="H62" s="864"/>
      <c r="I62" s="256"/>
      <c r="J62" s="256"/>
    </row>
    <row r="63" spans="1:10" ht="12.75" outlineLevel="1">
      <c r="A63" s="271"/>
      <c r="B63" s="272"/>
      <c r="C63" s="272"/>
      <c r="D63" s="272"/>
      <c r="E63" s="273"/>
      <c r="F63" s="274"/>
      <c r="G63" s="272"/>
      <c r="H63" s="275"/>
      <c r="I63" s="256"/>
      <c r="J63" s="256"/>
    </row>
    <row r="64" spans="1:10" ht="22.5" outlineLevel="1">
      <c r="A64" s="276" t="s">
        <v>114</v>
      </c>
      <c r="B64" s="277" t="s">
        <v>115</v>
      </c>
      <c r="C64" s="277" t="s">
        <v>116</v>
      </c>
      <c r="D64" s="277" t="s">
        <v>117</v>
      </c>
      <c r="E64" s="278" t="s">
        <v>118</v>
      </c>
      <c r="F64" s="279" t="s">
        <v>48</v>
      </c>
      <c r="G64" s="277"/>
      <c r="H64" s="280"/>
      <c r="I64" s="256"/>
      <c r="J64" s="256"/>
    </row>
    <row r="65" spans="1:10" ht="12.75" outlineLevel="1">
      <c r="A65" s="281" t="s">
        <v>125</v>
      </c>
      <c r="B65" s="282"/>
      <c r="C65" s="282">
        <f>C60</f>
        <v>19850000</v>
      </c>
      <c r="D65" s="282"/>
      <c r="E65" s="284"/>
      <c r="F65" s="285"/>
      <c r="G65" s="282"/>
      <c r="H65" s="286"/>
      <c r="I65" s="256"/>
      <c r="J65" s="256"/>
    </row>
    <row r="66" spans="1:10" ht="12.75" outlineLevel="1">
      <c r="A66" s="307">
        <v>46112</v>
      </c>
      <c r="B66" s="282">
        <f>A66-A59</f>
        <v>90</v>
      </c>
      <c r="C66" s="282">
        <f>C65-D66</f>
        <v>19475000</v>
      </c>
      <c r="D66" s="282">
        <v>375000</v>
      </c>
      <c r="E66" s="308">
        <f>$E$11+$E$12</f>
        <v>0.0641</v>
      </c>
      <c r="F66" s="285">
        <f>B66*C65*E66/I66</f>
        <v>313738.7671232877</v>
      </c>
      <c r="G66" s="282"/>
      <c r="H66" s="286"/>
      <c r="I66" s="256">
        <v>365</v>
      </c>
      <c r="J66" s="256"/>
    </row>
    <row r="67" spans="1:10" ht="12.75" outlineLevel="1">
      <c r="A67" s="307">
        <v>46203</v>
      </c>
      <c r="B67" s="282">
        <f>A67-A66</f>
        <v>91</v>
      </c>
      <c r="C67" s="282">
        <f>C66-D67</f>
        <v>19100000</v>
      </c>
      <c r="D67" s="282">
        <v>375000</v>
      </c>
      <c r="E67" s="308">
        <f>$E$11+$E$12</f>
        <v>0.0641</v>
      </c>
      <c r="F67" s="285">
        <f>B67*C66*E67/I67</f>
        <v>311231.84246575343</v>
      </c>
      <c r="G67" s="282"/>
      <c r="H67" s="286"/>
      <c r="I67" s="256">
        <v>365</v>
      </c>
      <c r="J67" s="256"/>
    </row>
    <row r="68" spans="1:10" ht="12.75" outlineLevel="1">
      <c r="A68" s="307">
        <v>46295</v>
      </c>
      <c r="B68" s="282">
        <f>A68-A67</f>
        <v>92</v>
      </c>
      <c r="C68" s="282">
        <f>C67-D68</f>
        <v>18725000</v>
      </c>
      <c r="D68" s="282">
        <v>375000</v>
      </c>
      <c r="E68" s="308">
        <f>$E$11+$E$12</f>
        <v>0.0641</v>
      </c>
      <c r="F68" s="285">
        <f>B68*C67*E68/I68</f>
        <v>308593.20547945204</v>
      </c>
      <c r="G68" s="282"/>
      <c r="H68" s="286"/>
      <c r="I68" s="256">
        <v>365</v>
      </c>
      <c r="J68" s="256"/>
    </row>
    <row r="69" spans="1:10" ht="12.75" outlineLevel="1">
      <c r="A69" s="307">
        <v>46387</v>
      </c>
      <c r="B69" s="282">
        <f>A69-A68</f>
        <v>92</v>
      </c>
      <c r="C69" s="282">
        <f>C68-D69</f>
        <v>18350000</v>
      </c>
      <c r="D69" s="282">
        <v>375000</v>
      </c>
      <c r="E69" s="308">
        <f>$E$11+$E$12</f>
        <v>0.0641</v>
      </c>
      <c r="F69" s="285">
        <f>B69*C68*E69/I69</f>
        <v>302534.4383561644</v>
      </c>
      <c r="G69" s="282"/>
      <c r="H69" s="286"/>
      <c r="I69" s="256">
        <v>365</v>
      </c>
      <c r="J69" s="256"/>
    </row>
    <row r="70" spans="1:10" ht="12.75" outlineLevel="1">
      <c r="A70" s="309"/>
      <c r="B70" s="288"/>
      <c r="C70" s="288">
        <f>C69</f>
        <v>18350000</v>
      </c>
      <c r="D70" s="288">
        <f>SUM(D66:D69)</f>
        <v>1500000</v>
      </c>
      <c r="E70" s="289"/>
      <c r="F70" s="274">
        <f>SUM(F66:F69)</f>
        <v>1236098.2534246575</v>
      </c>
      <c r="G70" s="288"/>
      <c r="H70" s="290"/>
      <c r="I70" s="256"/>
      <c r="J70" s="256"/>
    </row>
    <row r="71" spans="1:10" ht="12.75" outlineLevel="1">
      <c r="A71" s="291"/>
      <c r="B71" s="282"/>
      <c r="C71" s="282"/>
      <c r="D71" s="282"/>
      <c r="E71" s="284"/>
      <c r="F71" s="285"/>
      <c r="G71" s="282"/>
      <c r="H71" s="282"/>
      <c r="I71" s="256"/>
      <c r="J71" s="256"/>
    </row>
    <row r="72" spans="1:10" ht="12.75" outlineLevel="1">
      <c r="A72" s="864" t="s">
        <v>113</v>
      </c>
      <c r="B72" s="864"/>
      <c r="C72" s="864"/>
      <c r="D72" s="864"/>
      <c r="E72" s="864"/>
      <c r="F72" s="864"/>
      <c r="G72" s="864"/>
      <c r="H72" s="864"/>
      <c r="I72" s="256"/>
      <c r="J72" s="256"/>
    </row>
    <row r="73" spans="1:10" ht="12.75" outlineLevel="1">
      <c r="A73" s="271"/>
      <c r="B73" s="272"/>
      <c r="C73" s="272"/>
      <c r="D73" s="272"/>
      <c r="E73" s="273"/>
      <c r="F73" s="274"/>
      <c r="G73" s="272"/>
      <c r="H73" s="275"/>
      <c r="I73" s="256"/>
      <c r="J73" s="256"/>
    </row>
    <row r="74" spans="1:10" ht="22.5" outlineLevel="1">
      <c r="A74" s="276" t="s">
        <v>114</v>
      </c>
      <c r="B74" s="277" t="s">
        <v>115</v>
      </c>
      <c r="C74" s="277" t="s">
        <v>116</v>
      </c>
      <c r="D74" s="277" t="s">
        <v>117</v>
      </c>
      <c r="E74" s="278" t="s">
        <v>118</v>
      </c>
      <c r="F74" s="279" t="s">
        <v>48</v>
      </c>
      <c r="G74" s="277"/>
      <c r="H74" s="280"/>
      <c r="I74" s="256"/>
      <c r="J74" s="256"/>
    </row>
    <row r="75" spans="1:10" ht="12.75" outlineLevel="1">
      <c r="A75" s="281" t="s">
        <v>126</v>
      </c>
      <c r="B75" s="282"/>
      <c r="C75" s="282">
        <f>C70</f>
        <v>18350000</v>
      </c>
      <c r="D75" s="282"/>
      <c r="E75" s="284"/>
      <c r="F75" s="285"/>
      <c r="G75" s="282"/>
      <c r="H75" s="286"/>
      <c r="I75" s="256"/>
      <c r="J75" s="256"/>
    </row>
    <row r="76" spans="1:10" ht="12.75" outlineLevel="1">
      <c r="A76" s="307">
        <v>46477</v>
      </c>
      <c r="B76" s="282">
        <f>A76-A69</f>
        <v>90</v>
      </c>
      <c r="C76" s="282">
        <f>C75-D76</f>
        <v>18100000</v>
      </c>
      <c r="D76" s="282">
        <v>250000</v>
      </c>
      <c r="E76" s="308">
        <f>$E$11+$E$12</f>
        <v>0.0641</v>
      </c>
      <c r="F76" s="285">
        <f>B76*C75*E76/I76</f>
        <v>290030.5479452055</v>
      </c>
      <c r="G76" s="282"/>
      <c r="H76" s="286"/>
      <c r="I76" s="256">
        <v>365</v>
      </c>
      <c r="J76" s="256"/>
    </row>
    <row r="77" spans="1:10" ht="12.75" outlineLevel="1">
      <c r="A77" s="307">
        <v>46568</v>
      </c>
      <c r="B77" s="282">
        <f>A77-A76</f>
        <v>91</v>
      </c>
      <c r="C77" s="282">
        <f>C76-D77</f>
        <v>17850000</v>
      </c>
      <c r="D77" s="282">
        <v>250000</v>
      </c>
      <c r="E77" s="308">
        <f>$E$11+$E$12</f>
        <v>0.0641</v>
      </c>
      <c r="F77" s="285">
        <f>B77*C76*E77/I77</f>
        <v>289257.83561643836</v>
      </c>
      <c r="G77" s="282"/>
      <c r="H77" s="286"/>
      <c r="I77" s="256">
        <v>365</v>
      </c>
      <c r="J77" s="256"/>
    </row>
    <row r="78" spans="1:10" ht="12.75" outlineLevel="1">
      <c r="A78" s="307">
        <v>46660</v>
      </c>
      <c r="B78" s="282">
        <f>A78-A77</f>
        <v>92</v>
      </c>
      <c r="C78" s="282">
        <f>C77-D78</f>
        <v>17600000</v>
      </c>
      <c r="D78" s="282">
        <v>250000</v>
      </c>
      <c r="E78" s="308">
        <f>$E$11+$E$12</f>
        <v>0.0641</v>
      </c>
      <c r="F78" s="285">
        <f>B78*C77*E78/I78</f>
        <v>288397.31506849313</v>
      </c>
      <c r="G78" s="282"/>
      <c r="H78" s="286"/>
      <c r="I78" s="256">
        <v>365</v>
      </c>
      <c r="J78" s="256"/>
    </row>
    <row r="79" spans="1:10" ht="12.75" outlineLevel="1">
      <c r="A79" s="307">
        <v>46752</v>
      </c>
      <c r="B79" s="282">
        <f>A79-A78</f>
        <v>92</v>
      </c>
      <c r="C79" s="282">
        <f>C78-D79</f>
        <v>17350000</v>
      </c>
      <c r="D79" s="282">
        <v>250000</v>
      </c>
      <c r="E79" s="308">
        <f>$E$11+$E$12</f>
        <v>0.0641</v>
      </c>
      <c r="F79" s="285">
        <f>B79*C78*E79/I79</f>
        <v>284358.1369863014</v>
      </c>
      <c r="G79" s="282"/>
      <c r="H79" s="286"/>
      <c r="I79" s="256">
        <v>365</v>
      </c>
      <c r="J79" s="256"/>
    </row>
    <row r="80" spans="1:10" ht="12.75" outlineLevel="1">
      <c r="A80" s="309"/>
      <c r="B80" s="288"/>
      <c r="C80" s="288">
        <f>C79</f>
        <v>17350000</v>
      </c>
      <c r="D80" s="288">
        <f>SUM(D76:D79)</f>
        <v>1000000</v>
      </c>
      <c r="E80" s="289"/>
      <c r="F80" s="274">
        <f>SUM(F76:F79)</f>
        <v>1152043.8356164382</v>
      </c>
      <c r="G80" s="288"/>
      <c r="H80" s="290"/>
      <c r="I80" s="256"/>
      <c r="J80" s="256"/>
    </row>
    <row r="81" spans="1:10" ht="12.75" outlineLevel="1">
      <c r="A81" s="291"/>
      <c r="B81" s="282"/>
      <c r="C81" s="282"/>
      <c r="D81" s="282"/>
      <c r="E81" s="284"/>
      <c r="F81" s="285"/>
      <c r="G81" s="282"/>
      <c r="H81" s="282"/>
      <c r="I81" s="256"/>
      <c r="J81" s="256"/>
    </row>
    <row r="82" spans="1:10" ht="12.75" outlineLevel="1">
      <c r="A82" s="864" t="s">
        <v>113</v>
      </c>
      <c r="B82" s="864"/>
      <c r="C82" s="864"/>
      <c r="D82" s="864"/>
      <c r="E82" s="864"/>
      <c r="F82" s="864"/>
      <c r="G82" s="864"/>
      <c r="H82" s="864"/>
      <c r="I82" s="256"/>
      <c r="J82" s="256"/>
    </row>
    <row r="83" spans="1:10" ht="12.75" outlineLevel="1">
      <c r="A83" s="271"/>
      <c r="B83" s="272"/>
      <c r="C83" s="272"/>
      <c r="D83" s="272"/>
      <c r="E83" s="273"/>
      <c r="F83" s="274"/>
      <c r="G83" s="272"/>
      <c r="H83" s="275"/>
      <c r="I83" s="256"/>
      <c r="J83" s="256"/>
    </row>
    <row r="84" spans="1:10" ht="22.5" outlineLevel="1">
      <c r="A84" s="276" t="s">
        <v>114</v>
      </c>
      <c r="B84" s="277" t="s">
        <v>115</v>
      </c>
      <c r="C84" s="277" t="s">
        <v>116</v>
      </c>
      <c r="D84" s="277" t="s">
        <v>117</v>
      </c>
      <c r="E84" s="278" t="s">
        <v>118</v>
      </c>
      <c r="F84" s="279" t="s">
        <v>48</v>
      </c>
      <c r="G84" s="277"/>
      <c r="H84" s="280"/>
      <c r="I84" s="256"/>
      <c r="J84" s="256"/>
    </row>
    <row r="85" spans="1:10" ht="12.75" outlineLevel="1">
      <c r="A85" s="281" t="s">
        <v>127</v>
      </c>
      <c r="B85" s="282"/>
      <c r="C85" s="282">
        <f>C80</f>
        <v>17350000</v>
      </c>
      <c r="D85" s="282"/>
      <c r="E85" s="284"/>
      <c r="F85" s="285"/>
      <c r="G85" s="282"/>
      <c r="H85" s="286"/>
      <c r="I85" s="256"/>
      <c r="J85" s="256"/>
    </row>
    <row r="86" spans="1:10" ht="12.75" outlineLevel="1">
      <c r="A86" s="307">
        <v>46843</v>
      </c>
      <c r="B86" s="282">
        <f>A86-A79</f>
        <v>91</v>
      </c>
      <c r="C86" s="282">
        <f>C85-D86</f>
        <v>17325000</v>
      </c>
      <c r="D86" s="282">
        <v>25000</v>
      </c>
      <c r="E86" s="308">
        <f>$E$11+$E$12</f>
        <v>0.0641</v>
      </c>
      <c r="F86" s="285">
        <f>B86*C85*E86/I86</f>
        <v>277272.01369863015</v>
      </c>
      <c r="G86" s="282"/>
      <c r="H86" s="286"/>
      <c r="I86" s="256">
        <v>365</v>
      </c>
      <c r="J86" s="256"/>
    </row>
    <row r="87" spans="1:10" ht="12.75" outlineLevel="1">
      <c r="A87" s="307">
        <v>46934</v>
      </c>
      <c r="B87" s="282">
        <f>A87-A86</f>
        <v>91</v>
      </c>
      <c r="C87" s="282">
        <f>C86-D87</f>
        <v>17300000</v>
      </c>
      <c r="D87" s="282">
        <v>25000</v>
      </c>
      <c r="E87" s="308">
        <f>$E$11+$E$12</f>
        <v>0.0641</v>
      </c>
      <c r="F87" s="285">
        <f>B87*C86*E87/I87</f>
        <v>276872.48630136985</v>
      </c>
      <c r="G87" s="282"/>
      <c r="H87" s="286"/>
      <c r="I87" s="256">
        <v>365</v>
      </c>
      <c r="J87" s="256"/>
    </row>
    <row r="88" spans="1:10" ht="12.75" outlineLevel="1">
      <c r="A88" s="307">
        <v>47026</v>
      </c>
      <c r="B88" s="282">
        <f>A88-A87</f>
        <v>92</v>
      </c>
      <c r="C88" s="282">
        <f>C87-D88</f>
        <v>17275000</v>
      </c>
      <c r="D88" s="282">
        <v>25000</v>
      </c>
      <c r="E88" s="308">
        <f>$E$11+$E$12</f>
        <v>0.0641</v>
      </c>
      <c r="F88" s="285">
        <f>B88*C87*E88/I88</f>
        <v>279511.12328767125</v>
      </c>
      <c r="G88" s="282"/>
      <c r="H88" s="286"/>
      <c r="I88" s="256">
        <v>365</v>
      </c>
      <c r="J88" s="256"/>
    </row>
    <row r="89" spans="1:10" ht="12.75" outlineLevel="1">
      <c r="A89" s="307">
        <v>47118</v>
      </c>
      <c r="B89" s="282">
        <f>A89-A88</f>
        <v>92</v>
      </c>
      <c r="C89" s="282">
        <f>C88-D89</f>
        <v>17250000</v>
      </c>
      <c r="D89" s="282">
        <v>25000</v>
      </c>
      <c r="E89" s="308">
        <f>$E$11+$E$12</f>
        <v>0.0641</v>
      </c>
      <c r="F89" s="285">
        <f>B89*C88*E89/I89</f>
        <v>279107.20547945204</v>
      </c>
      <c r="G89" s="282"/>
      <c r="H89" s="286"/>
      <c r="I89" s="256">
        <v>365</v>
      </c>
      <c r="J89" s="256"/>
    </row>
    <row r="90" spans="1:10" ht="12.75" outlineLevel="1">
      <c r="A90" s="309"/>
      <c r="B90" s="288"/>
      <c r="C90" s="288">
        <f>C89</f>
        <v>17250000</v>
      </c>
      <c r="D90" s="288">
        <f>SUM(D86:D89)</f>
        <v>100000</v>
      </c>
      <c r="E90" s="289"/>
      <c r="F90" s="274">
        <f>SUM(F86:F89)</f>
        <v>1112762.8287671232</v>
      </c>
      <c r="G90" s="288"/>
      <c r="H90" s="290"/>
      <c r="I90" s="256"/>
      <c r="J90" s="256"/>
    </row>
    <row r="91" spans="1:10" ht="12.75" outlineLevel="1">
      <c r="A91" s="291"/>
      <c r="B91" s="282"/>
      <c r="C91" s="282"/>
      <c r="D91" s="282"/>
      <c r="E91" s="284"/>
      <c r="F91" s="285"/>
      <c r="G91" s="282"/>
      <c r="H91" s="282"/>
      <c r="I91" s="256"/>
      <c r="J91" s="256"/>
    </row>
    <row r="92" spans="1:10" ht="12.75" outlineLevel="1">
      <c r="A92" s="864" t="s">
        <v>113</v>
      </c>
      <c r="B92" s="864"/>
      <c r="C92" s="864"/>
      <c r="D92" s="864"/>
      <c r="E92" s="864"/>
      <c r="F92" s="864"/>
      <c r="G92" s="864"/>
      <c r="H92" s="864"/>
      <c r="I92" s="256"/>
      <c r="J92" s="256"/>
    </row>
    <row r="93" spans="1:10" ht="12.75" outlineLevel="1">
      <c r="A93" s="271"/>
      <c r="B93" s="272"/>
      <c r="C93" s="272"/>
      <c r="D93" s="272"/>
      <c r="E93" s="273"/>
      <c r="F93" s="274"/>
      <c r="G93" s="272"/>
      <c r="H93" s="275"/>
      <c r="I93" s="256"/>
      <c r="J93" s="256"/>
    </row>
    <row r="94" spans="1:10" ht="22.5" outlineLevel="1">
      <c r="A94" s="276" t="s">
        <v>114</v>
      </c>
      <c r="B94" s="277" t="s">
        <v>115</v>
      </c>
      <c r="C94" s="277" t="s">
        <v>116</v>
      </c>
      <c r="D94" s="277" t="s">
        <v>117</v>
      </c>
      <c r="E94" s="278" t="s">
        <v>118</v>
      </c>
      <c r="F94" s="279" t="s">
        <v>48</v>
      </c>
      <c r="G94" s="277"/>
      <c r="H94" s="280"/>
      <c r="I94" s="256"/>
      <c r="J94" s="256"/>
    </row>
    <row r="95" spans="1:10" ht="12.75" outlineLevel="1">
      <c r="A95" s="281" t="s">
        <v>128</v>
      </c>
      <c r="B95" s="282"/>
      <c r="C95" s="282">
        <f>C90</f>
        <v>17250000</v>
      </c>
      <c r="D95" s="282"/>
      <c r="E95" s="284"/>
      <c r="F95" s="285"/>
      <c r="G95" s="282"/>
      <c r="H95" s="286"/>
      <c r="I95" s="256"/>
      <c r="J95" s="256"/>
    </row>
    <row r="96" spans="1:10" ht="12.75" outlineLevel="1">
      <c r="A96" s="307">
        <v>47208</v>
      </c>
      <c r="B96" s="282">
        <v>90</v>
      </c>
      <c r="C96" s="282">
        <f>C95-D96</f>
        <v>17225000</v>
      </c>
      <c r="D96" s="282">
        <v>25000</v>
      </c>
      <c r="E96" s="308">
        <f>$E$11+$E$12</f>
        <v>0.0641</v>
      </c>
      <c r="F96" s="285">
        <f>B96*C95*E96/I96</f>
        <v>272644.5205479452</v>
      </c>
      <c r="G96" s="282"/>
      <c r="H96" s="286"/>
      <c r="I96" s="256">
        <v>365</v>
      </c>
      <c r="J96" s="256"/>
    </row>
    <row r="97" spans="1:10" ht="12.75" outlineLevel="1">
      <c r="A97" s="307">
        <v>47299</v>
      </c>
      <c r="B97" s="282">
        <f>A97-A96</f>
        <v>91</v>
      </c>
      <c r="C97" s="282">
        <f>C96-D97</f>
        <v>17200000</v>
      </c>
      <c r="D97" s="282">
        <v>25000</v>
      </c>
      <c r="E97" s="308">
        <f>$E$11+$E$12</f>
        <v>0.0641</v>
      </c>
      <c r="F97" s="285">
        <f>B97*C96*E97/I97</f>
        <v>275274.37671232875</v>
      </c>
      <c r="G97" s="282"/>
      <c r="H97" s="286"/>
      <c r="I97" s="256">
        <v>365</v>
      </c>
      <c r="J97" s="256"/>
    </row>
    <row r="98" spans="1:10" ht="12.75" outlineLevel="1">
      <c r="A98" s="307">
        <v>47391</v>
      </c>
      <c r="B98" s="282">
        <f>A98-A97</f>
        <v>92</v>
      </c>
      <c r="C98" s="282">
        <f>C97-D98</f>
        <v>17175000</v>
      </c>
      <c r="D98" s="282">
        <v>25000</v>
      </c>
      <c r="E98" s="308">
        <f>$E$11+$E$12</f>
        <v>0.0641</v>
      </c>
      <c r="F98" s="285">
        <f>B98*C97*E98/I98</f>
        <v>277895.4520547945</v>
      </c>
      <c r="G98" s="282"/>
      <c r="H98" s="286"/>
      <c r="I98" s="256">
        <v>365</v>
      </c>
      <c r="J98" s="256"/>
    </row>
    <row r="99" spans="1:10" ht="12.75" outlineLevel="1">
      <c r="A99" s="307">
        <v>47483</v>
      </c>
      <c r="B99" s="282">
        <f>A99-A98</f>
        <v>92</v>
      </c>
      <c r="C99" s="282">
        <f>C98-D99</f>
        <v>17150000</v>
      </c>
      <c r="D99" s="282">
        <v>25000</v>
      </c>
      <c r="E99" s="308">
        <f>$E$11+$E$12</f>
        <v>0.0641</v>
      </c>
      <c r="F99" s="285">
        <f>B99*C98*E99/I99</f>
        <v>277491.5342465753</v>
      </c>
      <c r="G99" s="282"/>
      <c r="H99" s="286"/>
      <c r="I99" s="256">
        <v>365</v>
      </c>
      <c r="J99" s="256"/>
    </row>
    <row r="100" spans="1:10" ht="12.75" outlineLevel="1">
      <c r="A100" s="309"/>
      <c r="B100" s="288"/>
      <c r="C100" s="288">
        <f>C99</f>
        <v>17150000</v>
      </c>
      <c r="D100" s="288">
        <f>SUM(D96:D99)</f>
        <v>100000</v>
      </c>
      <c r="E100" s="289"/>
      <c r="F100" s="274">
        <f>SUM(F96:F99)</f>
        <v>1103305.8835616438</v>
      </c>
      <c r="G100" s="288"/>
      <c r="H100" s="290"/>
      <c r="I100" s="256"/>
      <c r="J100" s="256"/>
    </row>
    <row r="101" spans="1:10" ht="12.75" outlineLevel="1">
      <c r="A101" s="291"/>
      <c r="B101" s="282"/>
      <c r="C101" s="282"/>
      <c r="D101" s="282"/>
      <c r="E101" s="284"/>
      <c r="F101" s="285"/>
      <c r="G101" s="282"/>
      <c r="H101" s="282"/>
      <c r="I101" s="256"/>
      <c r="J101" s="256"/>
    </row>
    <row r="102" spans="1:10" ht="12.75" outlineLevel="1">
      <c r="A102" s="864" t="s">
        <v>113</v>
      </c>
      <c r="B102" s="864"/>
      <c r="C102" s="864"/>
      <c r="D102" s="864"/>
      <c r="E102" s="864"/>
      <c r="F102" s="864"/>
      <c r="G102" s="864"/>
      <c r="H102" s="864"/>
      <c r="I102" s="256"/>
      <c r="J102" s="256"/>
    </row>
    <row r="103" spans="1:10" ht="12.75" outlineLevel="1">
      <c r="A103" s="271"/>
      <c r="B103" s="272"/>
      <c r="C103" s="272"/>
      <c r="D103" s="272"/>
      <c r="E103" s="273"/>
      <c r="F103" s="274"/>
      <c r="G103" s="272"/>
      <c r="H103" s="275"/>
      <c r="I103" s="256"/>
      <c r="J103" s="256"/>
    </row>
    <row r="104" spans="1:10" ht="22.5" outlineLevel="1">
      <c r="A104" s="276" t="s">
        <v>114</v>
      </c>
      <c r="B104" s="277" t="s">
        <v>115</v>
      </c>
      <c r="C104" s="277" t="s">
        <v>116</v>
      </c>
      <c r="D104" s="277" t="s">
        <v>117</v>
      </c>
      <c r="E104" s="278" t="s">
        <v>118</v>
      </c>
      <c r="F104" s="279" t="s">
        <v>48</v>
      </c>
      <c r="G104" s="277"/>
      <c r="H104" s="280"/>
      <c r="I104" s="256"/>
      <c r="J104" s="256"/>
    </row>
    <row r="105" spans="1:10" ht="12.75" outlineLevel="1">
      <c r="A105" s="281" t="s">
        <v>208</v>
      </c>
      <c r="B105" s="282"/>
      <c r="C105" s="282">
        <f>C100</f>
        <v>17150000</v>
      </c>
      <c r="D105" s="282"/>
      <c r="E105" s="284"/>
      <c r="F105" s="285"/>
      <c r="G105" s="282"/>
      <c r="H105" s="286"/>
      <c r="I105" s="256"/>
      <c r="J105" s="256"/>
    </row>
    <row r="106" spans="1:10" ht="12.75" outlineLevel="1">
      <c r="A106" s="307">
        <v>47573</v>
      </c>
      <c r="B106" s="282">
        <f>A106-A99</f>
        <v>90</v>
      </c>
      <c r="C106" s="282">
        <f>C105-D106</f>
        <v>17125000</v>
      </c>
      <c r="D106" s="282">
        <v>25000</v>
      </c>
      <c r="E106" s="308">
        <f>$E$11+$E$12</f>
        <v>0.0641</v>
      </c>
      <c r="F106" s="285">
        <f>B106*C105*E106/I106</f>
        <v>271063.9726027397</v>
      </c>
      <c r="G106" s="282"/>
      <c r="H106" s="286"/>
      <c r="I106" s="256">
        <v>365</v>
      </c>
      <c r="J106" s="256"/>
    </row>
    <row r="107" spans="1:10" ht="12.75" outlineLevel="1">
      <c r="A107" s="307">
        <v>47664</v>
      </c>
      <c r="B107" s="282">
        <f>A107-A106</f>
        <v>91</v>
      </c>
      <c r="C107" s="282">
        <f>C106-D107</f>
        <v>17100000</v>
      </c>
      <c r="D107" s="282">
        <v>25000</v>
      </c>
      <c r="E107" s="308">
        <f>$E$11+$E$12</f>
        <v>0.0641</v>
      </c>
      <c r="F107" s="285">
        <f>B107*C106*E107/I107</f>
        <v>273676.26712328766</v>
      </c>
      <c r="G107" s="282"/>
      <c r="H107" s="286"/>
      <c r="I107" s="256">
        <v>365</v>
      </c>
      <c r="J107" s="256"/>
    </row>
    <row r="108" spans="1:10" ht="12.75" outlineLevel="1">
      <c r="A108" s="307">
        <v>47756</v>
      </c>
      <c r="B108" s="282">
        <f>A108-A107</f>
        <v>92</v>
      </c>
      <c r="C108" s="282">
        <f>C107-D108</f>
        <v>17075000</v>
      </c>
      <c r="D108" s="282">
        <v>25000</v>
      </c>
      <c r="E108" s="308">
        <f>$E$11+$E$12</f>
        <v>0.0641</v>
      </c>
      <c r="F108" s="285">
        <f>B108*C107*E108/I108</f>
        <v>276279.7808219178</v>
      </c>
      <c r="G108" s="282"/>
      <c r="H108" s="286"/>
      <c r="I108" s="256">
        <v>365</v>
      </c>
      <c r="J108" s="256"/>
    </row>
    <row r="109" spans="1:10" ht="12.75" outlineLevel="1">
      <c r="A109" s="307">
        <v>47848</v>
      </c>
      <c r="B109" s="282">
        <f>A109-A108</f>
        <v>92</v>
      </c>
      <c r="C109" s="282">
        <f>C108-D109</f>
        <v>17050000</v>
      </c>
      <c r="D109" s="282">
        <v>25000</v>
      </c>
      <c r="E109" s="308">
        <f>$E$11+$E$12</f>
        <v>0.0641</v>
      </c>
      <c r="F109" s="285">
        <f>B109*C108*E109/I109</f>
        <v>275875.8630136986</v>
      </c>
      <c r="G109" s="282"/>
      <c r="H109" s="286"/>
      <c r="I109" s="256">
        <v>365</v>
      </c>
      <c r="J109" s="256"/>
    </row>
    <row r="110" spans="1:10" ht="12.75" outlineLevel="1">
      <c r="A110" s="309"/>
      <c r="B110" s="288"/>
      <c r="C110" s="288">
        <f>C109</f>
        <v>17050000</v>
      </c>
      <c r="D110" s="288">
        <f>SUM(D106:D109)</f>
        <v>100000</v>
      </c>
      <c r="E110" s="289"/>
      <c r="F110" s="274">
        <f>SUM(F106:F109)</f>
        <v>1096895.8835616438</v>
      </c>
      <c r="G110" s="288"/>
      <c r="H110" s="290"/>
      <c r="I110" s="256"/>
      <c r="J110" s="256"/>
    </row>
    <row r="111" spans="1:10" ht="12.75" outlineLevel="1">
      <c r="A111" s="291"/>
      <c r="B111" s="282"/>
      <c r="C111" s="282"/>
      <c r="D111" s="282"/>
      <c r="E111" s="284"/>
      <c r="F111" s="285"/>
      <c r="G111" s="282"/>
      <c r="H111" s="282"/>
      <c r="I111" s="256"/>
      <c r="J111" s="256"/>
    </row>
    <row r="112" spans="1:10" ht="12.75" outlineLevel="1">
      <c r="A112" s="864" t="s">
        <v>113</v>
      </c>
      <c r="B112" s="864"/>
      <c r="C112" s="864"/>
      <c r="D112" s="864"/>
      <c r="E112" s="864"/>
      <c r="F112" s="864"/>
      <c r="G112" s="864"/>
      <c r="H112" s="864"/>
      <c r="I112" s="256"/>
      <c r="J112" s="256"/>
    </row>
    <row r="113" spans="1:10" ht="12.75" outlineLevel="1">
      <c r="A113" s="271"/>
      <c r="B113" s="272"/>
      <c r="C113" s="272"/>
      <c r="D113" s="272"/>
      <c r="E113" s="273"/>
      <c r="F113" s="274"/>
      <c r="G113" s="272"/>
      <c r="H113" s="275"/>
      <c r="I113" s="256"/>
      <c r="J113" s="256"/>
    </row>
    <row r="114" spans="1:10" ht="22.5" outlineLevel="1">
      <c r="A114" s="276" t="s">
        <v>114</v>
      </c>
      <c r="B114" s="277" t="s">
        <v>115</v>
      </c>
      <c r="C114" s="277" t="s">
        <v>116</v>
      </c>
      <c r="D114" s="277" t="s">
        <v>117</v>
      </c>
      <c r="E114" s="278" t="s">
        <v>118</v>
      </c>
      <c r="F114" s="279" t="s">
        <v>48</v>
      </c>
      <c r="G114" s="277"/>
      <c r="H114" s="280"/>
      <c r="I114" s="256"/>
      <c r="J114" s="256"/>
    </row>
    <row r="115" spans="1:10" ht="12.75" outlineLevel="1">
      <c r="A115" s="281" t="s">
        <v>130</v>
      </c>
      <c r="B115" s="282"/>
      <c r="C115" s="282">
        <f>C110</f>
        <v>17050000</v>
      </c>
      <c r="D115" s="282"/>
      <c r="E115" s="284"/>
      <c r="F115" s="285"/>
      <c r="G115" s="282"/>
      <c r="H115" s="286"/>
      <c r="I115" s="256"/>
      <c r="J115" s="256"/>
    </row>
    <row r="116" spans="1:10" ht="12.75" outlineLevel="1">
      <c r="A116" s="307">
        <v>47938</v>
      </c>
      <c r="B116" s="282">
        <f>A116-A109</f>
        <v>90</v>
      </c>
      <c r="C116" s="282">
        <f>C115-D116</f>
        <v>17025000</v>
      </c>
      <c r="D116" s="282">
        <v>25000</v>
      </c>
      <c r="E116" s="308">
        <f>$E$11+$E$12</f>
        <v>0.0641</v>
      </c>
      <c r="F116" s="285">
        <f>B116*C115*E116/I116</f>
        <v>269483.4246575342</v>
      </c>
      <c r="G116" s="282"/>
      <c r="H116" s="286"/>
      <c r="I116" s="256">
        <v>365</v>
      </c>
      <c r="J116" s="256"/>
    </row>
    <row r="117" spans="1:10" ht="12.75" outlineLevel="1">
      <c r="A117" s="307">
        <v>48029</v>
      </c>
      <c r="B117" s="282">
        <f>A117-A116</f>
        <v>91</v>
      </c>
      <c r="C117" s="282">
        <f>C116-D117</f>
        <v>17000000</v>
      </c>
      <c r="D117" s="282">
        <v>25000</v>
      </c>
      <c r="E117" s="308">
        <f>$E$11+$E$12</f>
        <v>0.0641</v>
      </c>
      <c r="F117" s="285">
        <f>B117*C116*E117/I117</f>
        <v>272078.15753424657</v>
      </c>
      <c r="G117" s="282"/>
      <c r="H117" s="286"/>
      <c r="I117" s="256">
        <v>365</v>
      </c>
      <c r="J117" s="256"/>
    </row>
    <row r="118" spans="1:10" ht="12.75" outlineLevel="1">
      <c r="A118" s="307">
        <v>48121</v>
      </c>
      <c r="B118" s="282">
        <f>A118-A117</f>
        <v>92</v>
      </c>
      <c r="C118" s="282">
        <f>C117-D118</f>
        <v>16975000</v>
      </c>
      <c r="D118" s="282">
        <v>25000</v>
      </c>
      <c r="E118" s="308">
        <f>$E$11+$E$12</f>
        <v>0.0641</v>
      </c>
      <c r="F118" s="285">
        <f>B118*C117*E118/I118</f>
        <v>274664.1095890411</v>
      </c>
      <c r="G118" s="282"/>
      <c r="H118" s="286"/>
      <c r="I118" s="256">
        <v>365</v>
      </c>
      <c r="J118" s="256"/>
    </row>
    <row r="119" spans="1:10" ht="12.75" outlineLevel="1">
      <c r="A119" s="307">
        <v>48213</v>
      </c>
      <c r="B119" s="282">
        <f>A119-A118</f>
        <v>92</v>
      </c>
      <c r="C119" s="282">
        <f>C118-D119</f>
        <v>16950000</v>
      </c>
      <c r="D119" s="282">
        <v>25000</v>
      </c>
      <c r="E119" s="308">
        <f>$E$11+$E$12</f>
        <v>0.0641</v>
      </c>
      <c r="F119" s="285">
        <f>B119*C118*E119/I119</f>
        <v>274260.19178082194</v>
      </c>
      <c r="G119" s="282"/>
      <c r="H119" s="286"/>
      <c r="I119" s="256">
        <v>365</v>
      </c>
      <c r="J119" s="256"/>
    </row>
    <row r="120" spans="1:10" ht="12.75" outlineLevel="1">
      <c r="A120" s="309"/>
      <c r="B120" s="288"/>
      <c r="C120" s="288">
        <f>C119</f>
        <v>16950000</v>
      </c>
      <c r="D120" s="288">
        <f>SUM(D116:D119)</f>
        <v>100000</v>
      </c>
      <c r="E120" s="289"/>
      <c r="F120" s="274">
        <f>SUM(F116:F119)</f>
        <v>1090485.8835616438</v>
      </c>
      <c r="G120" s="288"/>
      <c r="H120" s="290"/>
      <c r="I120" s="256"/>
      <c r="J120" s="256"/>
    </row>
    <row r="121" spans="1:10" ht="12.75" outlineLevel="1">
      <c r="A121" s="256"/>
      <c r="B121" s="255"/>
      <c r="C121" s="255"/>
      <c r="D121" s="255"/>
      <c r="E121" s="257"/>
      <c r="F121" s="258"/>
      <c r="G121" s="255"/>
      <c r="H121" s="255"/>
      <c r="I121" s="256"/>
      <c r="J121" s="256"/>
    </row>
    <row r="122" spans="1:10" ht="12.75" outlineLevel="1">
      <c r="A122" s="864" t="s">
        <v>113</v>
      </c>
      <c r="B122" s="864"/>
      <c r="C122" s="864"/>
      <c r="D122" s="864"/>
      <c r="E122" s="864"/>
      <c r="F122" s="864"/>
      <c r="G122" s="864"/>
      <c r="H122" s="864"/>
      <c r="I122" s="256"/>
      <c r="J122" s="256"/>
    </row>
    <row r="123" spans="1:10" ht="12.75" outlineLevel="1">
      <c r="A123" s="271"/>
      <c r="B123" s="272"/>
      <c r="C123" s="272"/>
      <c r="D123" s="272"/>
      <c r="E123" s="273"/>
      <c r="F123" s="274"/>
      <c r="G123" s="272"/>
      <c r="H123" s="275"/>
      <c r="I123" s="256"/>
      <c r="J123" s="256"/>
    </row>
    <row r="124" spans="1:10" ht="22.5" outlineLevel="1">
      <c r="A124" s="276" t="s">
        <v>114</v>
      </c>
      <c r="B124" s="277" t="s">
        <v>115</v>
      </c>
      <c r="C124" s="277" t="s">
        <v>116</v>
      </c>
      <c r="D124" s="277" t="s">
        <v>117</v>
      </c>
      <c r="E124" s="278" t="s">
        <v>118</v>
      </c>
      <c r="F124" s="279" t="s">
        <v>48</v>
      </c>
      <c r="G124" s="277"/>
      <c r="H124" s="280"/>
      <c r="I124" s="256"/>
      <c r="J124" s="256"/>
    </row>
    <row r="125" spans="1:10" ht="12.75" outlineLevel="1">
      <c r="A125" s="281" t="s">
        <v>131</v>
      </c>
      <c r="B125" s="282"/>
      <c r="C125" s="282">
        <f>C120</f>
        <v>16950000</v>
      </c>
      <c r="D125" s="282"/>
      <c r="E125" s="284"/>
      <c r="F125" s="285"/>
      <c r="G125" s="282"/>
      <c r="H125" s="286"/>
      <c r="I125" s="256"/>
      <c r="J125" s="256"/>
    </row>
    <row r="126" spans="1:10" ht="12.75" outlineLevel="1">
      <c r="A126" s="307">
        <v>48304</v>
      </c>
      <c r="B126" s="282">
        <f>A126-A119</f>
        <v>91</v>
      </c>
      <c r="C126" s="282">
        <f>C125-D126</f>
        <v>16825000</v>
      </c>
      <c r="D126" s="282">
        <v>125000</v>
      </c>
      <c r="E126" s="308">
        <f>$E$11+$E$12</f>
        <v>0.0641</v>
      </c>
      <c r="F126" s="285">
        <f>B126*C125*E126/I126</f>
        <v>270879.5753424658</v>
      </c>
      <c r="G126" s="282"/>
      <c r="H126" s="286"/>
      <c r="I126" s="256">
        <v>365</v>
      </c>
      <c r="J126" s="256"/>
    </row>
    <row r="127" spans="1:10" ht="12.75" outlineLevel="1">
      <c r="A127" s="307">
        <v>48395</v>
      </c>
      <c r="B127" s="282">
        <f>A127-A126</f>
        <v>91</v>
      </c>
      <c r="C127" s="282">
        <f>C126-D127</f>
        <v>16700000</v>
      </c>
      <c r="D127" s="282">
        <v>125000</v>
      </c>
      <c r="E127" s="308">
        <f>$E$11+$E$12</f>
        <v>0.0641</v>
      </c>
      <c r="F127" s="285">
        <f>B127*C126*E127/I127</f>
        <v>268881.9383561644</v>
      </c>
      <c r="G127" s="282"/>
      <c r="H127" s="286"/>
      <c r="I127" s="256">
        <v>365</v>
      </c>
      <c r="J127" s="256"/>
    </row>
    <row r="128" spans="1:10" ht="12.75" outlineLevel="1">
      <c r="A128" s="307">
        <v>48487</v>
      </c>
      <c r="B128" s="282">
        <f>A128-A127</f>
        <v>92</v>
      </c>
      <c r="C128" s="282">
        <f>C127-D128</f>
        <v>16575000</v>
      </c>
      <c r="D128" s="282">
        <v>125000</v>
      </c>
      <c r="E128" s="308">
        <f>$E$11+$E$12</f>
        <v>0.0641</v>
      </c>
      <c r="F128" s="285">
        <f>B128*C127*E128/I128</f>
        <v>269817.09589041094</v>
      </c>
      <c r="G128" s="282"/>
      <c r="H128" s="286"/>
      <c r="I128" s="256">
        <v>365</v>
      </c>
      <c r="J128" s="256"/>
    </row>
    <row r="129" spans="1:10" ht="12.75" outlineLevel="1">
      <c r="A129" s="307">
        <v>48579</v>
      </c>
      <c r="B129" s="282">
        <f>A129-A128</f>
        <v>92</v>
      </c>
      <c r="C129" s="282">
        <f>C128-D129</f>
        <v>16450000</v>
      </c>
      <c r="D129" s="282">
        <v>125000</v>
      </c>
      <c r="E129" s="308">
        <f>$E$11+$E$12</f>
        <v>0.0641</v>
      </c>
      <c r="F129" s="285">
        <f>B129*C128*E129/I129</f>
        <v>267797.5068493151</v>
      </c>
      <c r="G129" s="282"/>
      <c r="H129" s="286"/>
      <c r="I129" s="256">
        <v>365</v>
      </c>
      <c r="J129" s="256"/>
    </row>
    <row r="130" spans="1:10" ht="12.75" outlineLevel="1">
      <c r="A130" s="309"/>
      <c r="B130" s="288"/>
      <c r="C130" s="288">
        <f>C129</f>
        <v>16450000</v>
      </c>
      <c r="D130" s="288">
        <f>SUM(D126:D129)</f>
        <v>500000</v>
      </c>
      <c r="E130" s="289"/>
      <c r="F130" s="274">
        <f>SUM(F126:F129)</f>
        <v>1077376.1164383562</v>
      </c>
      <c r="G130" s="288"/>
      <c r="H130" s="290"/>
      <c r="I130" s="256"/>
      <c r="J130" s="256"/>
    </row>
    <row r="131" spans="1:10" ht="12.75" outlineLevel="1">
      <c r="A131" s="310"/>
      <c r="B131" s="311"/>
      <c r="C131" s="311"/>
      <c r="D131" s="312"/>
      <c r="E131" s="312"/>
      <c r="F131" s="312"/>
      <c r="G131" s="311"/>
      <c r="H131" s="313"/>
      <c r="I131" s="256"/>
      <c r="J131" s="256"/>
    </row>
    <row r="132" spans="1:10" ht="12.75" outlineLevel="1">
      <c r="A132" s="864" t="s">
        <v>113</v>
      </c>
      <c r="B132" s="864"/>
      <c r="C132" s="864"/>
      <c r="D132" s="864"/>
      <c r="E132" s="864"/>
      <c r="F132" s="864"/>
      <c r="G132" s="864"/>
      <c r="H132" s="864"/>
      <c r="I132" s="256"/>
      <c r="J132" s="256"/>
    </row>
    <row r="133" spans="1:10" ht="12.75" outlineLevel="1">
      <c r="A133" s="271"/>
      <c r="B133" s="272"/>
      <c r="C133" s="272"/>
      <c r="D133" s="272"/>
      <c r="E133" s="273"/>
      <c r="F133" s="274"/>
      <c r="G133" s="272"/>
      <c r="H133" s="275"/>
      <c r="I133" s="256"/>
      <c r="J133" s="256"/>
    </row>
    <row r="134" spans="1:10" ht="22.5" outlineLevel="1">
      <c r="A134" s="276" t="s">
        <v>114</v>
      </c>
      <c r="B134" s="277" t="s">
        <v>115</v>
      </c>
      <c r="C134" s="277" t="s">
        <v>116</v>
      </c>
      <c r="D134" s="277" t="s">
        <v>117</v>
      </c>
      <c r="E134" s="278" t="s">
        <v>118</v>
      </c>
      <c r="F134" s="279" t="s">
        <v>48</v>
      </c>
      <c r="G134" s="277"/>
      <c r="H134" s="280"/>
      <c r="I134" s="256"/>
      <c r="J134" s="256"/>
    </row>
    <row r="135" spans="1:10" ht="12.75" outlineLevel="1">
      <c r="A135" s="281" t="s">
        <v>132</v>
      </c>
      <c r="B135" s="282"/>
      <c r="C135" s="282">
        <f>C130</f>
        <v>16450000</v>
      </c>
      <c r="D135" s="282"/>
      <c r="E135" s="284"/>
      <c r="F135" s="285"/>
      <c r="G135" s="282"/>
      <c r="H135" s="286"/>
      <c r="I135" s="256"/>
      <c r="J135" s="256"/>
    </row>
    <row r="136" spans="1:10" ht="12.75" outlineLevel="1">
      <c r="A136" s="307">
        <v>48669</v>
      </c>
      <c r="B136" s="282">
        <v>90</v>
      </c>
      <c r="C136" s="282">
        <f>C135-D136</f>
        <v>16100000</v>
      </c>
      <c r="D136" s="282">
        <v>350000</v>
      </c>
      <c r="E136" s="308">
        <f>$E$11+$E$12</f>
        <v>0.0641</v>
      </c>
      <c r="F136" s="285">
        <f>B136*C135*E136/I136</f>
        <v>260000.13698630137</v>
      </c>
      <c r="G136" s="282"/>
      <c r="H136" s="286"/>
      <c r="I136" s="256">
        <v>365</v>
      </c>
      <c r="J136" s="256"/>
    </row>
    <row r="137" spans="1:10" ht="12.75" outlineLevel="1">
      <c r="A137" s="307">
        <v>48760</v>
      </c>
      <c r="B137" s="282">
        <f>A137-A136</f>
        <v>91</v>
      </c>
      <c r="C137" s="282">
        <f>C136-D137</f>
        <v>15750000</v>
      </c>
      <c r="D137" s="282">
        <v>350000</v>
      </c>
      <c r="E137" s="308">
        <f>$E$11+$E$12</f>
        <v>0.0641</v>
      </c>
      <c r="F137" s="285">
        <f>B137*C136*E137/I137</f>
        <v>257295.64383561644</v>
      </c>
      <c r="G137" s="282"/>
      <c r="H137" s="286"/>
      <c r="I137" s="256">
        <v>365</v>
      </c>
      <c r="J137" s="256"/>
    </row>
    <row r="138" spans="1:10" ht="12.75" outlineLevel="1">
      <c r="A138" s="307">
        <v>48852</v>
      </c>
      <c r="B138" s="282">
        <f>A138-A137</f>
        <v>92</v>
      </c>
      <c r="C138" s="282">
        <f>C137-D138</f>
        <v>15400000</v>
      </c>
      <c r="D138" s="282">
        <v>350000</v>
      </c>
      <c r="E138" s="308">
        <f>$E$11+$E$12</f>
        <v>0.0641</v>
      </c>
      <c r="F138" s="285">
        <f>B138*C137*E138/I138</f>
        <v>254468.2191780822</v>
      </c>
      <c r="G138" s="282"/>
      <c r="H138" s="286"/>
      <c r="I138" s="256">
        <v>365</v>
      </c>
      <c r="J138" s="256"/>
    </row>
    <row r="139" spans="1:10" ht="12.75" outlineLevel="1">
      <c r="A139" s="307">
        <v>48944</v>
      </c>
      <c r="B139" s="282">
        <f>A139-A138</f>
        <v>92</v>
      </c>
      <c r="C139" s="282">
        <f>C138-D139</f>
        <v>15050000</v>
      </c>
      <c r="D139" s="282">
        <v>350000</v>
      </c>
      <c r="E139" s="308">
        <f>$E$11+$E$12</f>
        <v>0.0641</v>
      </c>
      <c r="F139" s="285">
        <f>B139*C138*E139/I139</f>
        <v>248813.3698630137</v>
      </c>
      <c r="G139" s="282"/>
      <c r="H139" s="286"/>
      <c r="I139" s="256">
        <v>365</v>
      </c>
      <c r="J139" s="256"/>
    </row>
    <row r="140" spans="1:10" ht="12.75" outlineLevel="1">
      <c r="A140" s="309"/>
      <c r="B140" s="288"/>
      <c r="C140" s="288">
        <f>C139</f>
        <v>15050000</v>
      </c>
      <c r="D140" s="288">
        <f>SUM(D136:D139)</f>
        <v>1400000</v>
      </c>
      <c r="E140" s="289"/>
      <c r="F140" s="274">
        <f>SUM(F136:F139)</f>
        <v>1020577.3698630137</v>
      </c>
      <c r="G140" s="288"/>
      <c r="H140" s="290"/>
      <c r="I140" s="256"/>
      <c r="J140" s="256"/>
    </row>
    <row r="141" spans="1:10" ht="12.75" outlineLevel="1">
      <c r="A141" s="310"/>
      <c r="B141" s="311"/>
      <c r="C141" s="311"/>
      <c r="D141" s="311"/>
      <c r="E141" s="314"/>
      <c r="F141" s="315"/>
      <c r="G141" s="311"/>
      <c r="H141" s="313"/>
      <c r="I141" s="256"/>
      <c r="J141" s="256"/>
    </row>
    <row r="142" spans="1:10" ht="12.75" outlineLevel="1">
      <c r="A142" s="864" t="s">
        <v>113</v>
      </c>
      <c r="B142" s="864"/>
      <c r="C142" s="864"/>
      <c r="D142" s="864"/>
      <c r="E142" s="864"/>
      <c r="F142" s="864"/>
      <c r="G142" s="864"/>
      <c r="H142" s="864"/>
      <c r="I142" s="256"/>
      <c r="J142" s="256"/>
    </row>
    <row r="143" spans="1:10" ht="12.75" outlineLevel="1">
      <c r="A143" s="271"/>
      <c r="B143" s="272"/>
      <c r="C143" s="272"/>
      <c r="D143" s="272"/>
      <c r="E143" s="273"/>
      <c r="F143" s="274"/>
      <c r="G143" s="272"/>
      <c r="H143" s="275"/>
      <c r="I143" s="256"/>
      <c r="J143" s="256"/>
    </row>
    <row r="144" spans="1:10" ht="22.5" outlineLevel="1">
      <c r="A144" s="276" t="s">
        <v>114</v>
      </c>
      <c r="B144" s="277" t="s">
        <v>115</v>
      </c>
      <c r="C144" s="277" t="s">
        <v>116</v>
      </c>
      <c r="D144" s="277" t="s">
        <v>117</v>
      </c>
      <c r="E144" s="278" t="s">
        <v>118</v>
      </c>
      <c r="F144" s="279" t="s">
        <v>48</v>
      </c>
      <c r="G144" s="277"/>
      <c r="H144" s="280"/>
      <c r="I144" s="256"/>
      <c r="J144" s="256"/>
    </row>
    <row r="145" spans="1:10" ht="12.75" outlineLevel="1">
      <c r="A145" s="281" t="s">
        <v>133</v>
      </c>
      <c r="B145" s="282"/>
      <c r="C145" s="282">
        <f>C140</f>
        <v>15050000</v>
      </c>
      <c r="D145" s="282"/>
      <c r="E145" s="284"/>
      <c r="F145" s="285"/>
      <c r="G145" s="282"/>
      <c r="H145" s="286"/>
      <c r="I145" s="256"/>
      <c r="J145" s="256"/>
    </row>
    <row r="146" spans="1:10" ht="12.75" outlineLevel="1">
      <c r="A146" s="307">
        <v>49034</v>
      </c>
      <c r="B146" s="282">
        <f>A146-A139</f>
        <v>90</v>
      </c>
      <c r="C146" s="282">
        <f>C145-D146</f>
        <v>14700000</v>
      </c>
      <c r="D146" s="282">
        <v>350000</v>
      </c>
      <c r="E146" s="308">
        <f>$E$11+$E$12</f>
        <v>0.0641</v>
      </c>
      <c r="F146" s="285">
        <f>B146*C145*E146/I146</f>
        <v>237872.46575342465</v>
      </c>
      <c r="G146" s="282"/>
      <c r="H146" s="286"/>
      <c r="I146" s="256">
        <v>365</v>
      </c>
      <c r="J146" s="256"/>
    </row>
    <row r="147" spans="1:10" ht="12.75" outlineLevel="1">
      <c r="A147" s="307">
        <v>49125</v>
      </c>
      <c r="B147" s="282">
        <f>A147-A146</f>
        <v>91</v>
      </c>
      <c r="C147" s="282">
        <f>C146-D147</f>
        <v>14350000</v>
      </c>
      <c r="D147" s="282">
        <v>350000</v>
      </c>
      <c r="E147" s="308">
        <f>$E$11+$E$12</f>
        <v>0.0641</v>
      </c>
      <c r="F147" s="285">
        <f>B147*C146*E147/I147</f>
        <v>234922.1095890411</v>
      </c>
      <c r="G147" s="282"/>
      <c r="H147" s="286"/>
      <c r="I147" s="256">
        <v>365</v>
      </c>
      <c r="J147" s="256"/>
    </row>
    <row r="148" spans="1:10" ht="12.75" outlineLevel="1">
      <c r="A148" s="307">
        <v>49217</v>
      </c>
      <c r="B148" s="282">
        <f>A148-A147</f>
        <v>92</v>
      </c>
      <c r="C148" s="282">
        <f>C147-D148</f>
        <v>14000000</v>
      </c>
      <c r="D148" s="282">
        <v>350000</v>
      </c>
      <c r="E148" s="308">
        <f>$E$11+$E$12</f>
        <v>0.0641</v>
      </c>
      <c r="F148" s="285">
        <f>B148*C147*E148/I148</f>
        <v>231848.8219178082</v>
      </c>
      <c r="G148" s="282"/>
      <c r="H148" s="286"/>
      <c r="I148" s="256">
        <v>365</v>
      </c>
      <c r="J148" s="256"/>
    </row>
    <row r="149" spans="1:10" ht="12.75" outlineLevel="1">
      <c r="A149" s="307">
        <v>49309</v>
      </c>
      <c r="B149" s="282">
        <f>A149-A148</f>
        <v>92</v>
      </c>
      <c r="C149" s="282">
        <f>C148-D149</f>
        <v>13650000</v>
      </c>
      <c r="D149" s="282">
        <v>350000</v>
      </c>
      <c r="E149" s="308">
        <f>$E$11+$E$12</f>
        <v>0.0641</v>
      </c>
      <c r="F149" s="285">
        <f>B149*C148*E149/I149</f>
        <v>226193.97260273973</v>
      </c>
      <c r="G149" s="282"/>
      <c r="H149" s="286"/>
      <c r="I149" s="256">
        <v>365</v>
      </c>
      <c r="J149" s="256"/>
    </row>
    <row r="150" spans="1:10" ht="12.75" outlineLevel="1">
      <c r="A150" s="309"/>
      <c r="B150" s="288"/>
      <c r="C150" s="288">
        <f>C149</f>
        <v>13650000</v>
      </c>
      <c r="D150" s="288">
        <f>SUM(D146:D149)</f>
        <v>1400000</v>
      </c>
      <c r="E150" s="289"/>
      <c r="F150" s="274">
        <f>SUM(F146:F149)</f>
        <v>930837.3698630137</v>
      </c>
      <c r="G150" s="288"/>
      <c r="H150" s="290"/>
      <c r="I150" s="256"/>
      <c r="J150" s="256"/>
    </row>
    <row r="151" spans="1:10" ht="12.75" outlineLevel="1">
      <c r="A151" s="310"/>
      <c r="B151" s="311"/>
      <c r="C151" s="311"/>
      <c r="D151" s="311"/>
      <c r="E151" s="314"/>
      <c r="F151" s="315"/>
      <c r="G151" s="311"/>
      <c r="H151" s="313"/>
      <c r="I151" s="256"/>
      <c r="J151" s="256"/>
    </row>
    <row r="152" spans="1:10" ht="12.75" outlineLevel="1">
      <c r="A152" s="864" t="s">
        <v>113</v>
      </c>
      <c r="B152" s="864"/>
      <c r="C152" s="864"/>
      <c r="D152" s="864"/>
      <c r="E152" s="864"/>
      <c r="F152" s="864"/>
      <c r="G152" s="864"/>
      <c r="H152" s="864"/>
      <c r="I152" s="256"/>
      <c r="J152" s="256"/>
    </row>
    <row r="153" spans="1:10" ht="12.75" outlineLevel="1">
      <c r="A153" s="271"/>
      <c r="B153" s="272"/>
      <c r="C153" s="272"/>
      <c r="D153" s="272"/>
      <c r="E153" s="273"/>
      <c r="F153" s="274"/>
      <c r="G153" s="272"/>
      <c r="H153" s="275"/>
      <c r="I153" s="256"/>
      <c r="J153" s="256"/>
    </row>
    <row r="154" spans="1:10" ht="22.5" outlineLevel="1">
      <c r="A154" s="276" t="s">
        <v>114</v>
      </c>
      <c r="B154" s="277" t="s">
        <v>115</v>
      </c>
      <c r="C154" s="277" t="s">
        <v>116</v>
      </c>
      <c r="D154" s="277" t="s">
        <v>117</v>
      </c>
      <c r="E154" s="278" t="s">
        <v>118</v>
      </c>
      <c r="F154" s="279" t="s">
        <v>48</v>
      </c>
      <c r="G154" s="277"/>
      <c r="H154" s="280"/>
      <c r="I154" s="256"/>
      <c r="J154" s="256"/>
    </row>
    <row r="155" spans="1:10" ht="12.75" outlineLevel="1">
      <c r="A155" s="281" t="s">
        <v>209</v>
      </c>
      <c r="B155" s="282"/>
      <c r="C155" s="282">
        <f>C150</f>
        <v>13650000</v>
      </c>
      <c r="D155" s="282"/>
      <c r="E155" s="284"/>
      <c r="F155" s="285"/>
      <c r="G155" s="282"/>
      <c r="H155" s="286"/>
      <c r="I155" s="256"/>
      <c r="J155" s="256"/>
    </row>
    <row r="156" spans="1:10" ht="12.75" outlineLevel="1">
      <c r="A156" s="307">
        <v>49399</v>
      </c>
      <c r="B156" s="282">
        <f>A156-A149</f>
        <v>90</v>
      </c>
      <c r="C156" s="282">
        <f>C155-D156</f>
        <v>13400000</v>
      </c>
      <c r="D156" s="282">
        <v>250000</v>
      </c>
      <c r="E156" s="308">
        <f>$E$11+$E$12</f>
        <v>0.0641</v>
      </c>
      <c r="F156" s="285">
        <f>B156*C155*E156/I156</f>
        <v>215744.79452054793</v>
      </c>
      <c r="G156" s="282"/>
      <c r="H156" s="286"/>
      <c r="I156" s="256">
        <v>365</v>
      </c>
      <c r="J156" s="256"/>
    </row>
    <row r="157" spans="1:10" ht="12.75" outlineLevel="1">
      <c r="A157" s="307">
        <v>49490</v>
      </c>
      <c r="B157" s="282">
        <f>A157-A156</f>
        <v>91</v>
      </c>
      <c r="C157" s="282">
        <f>C156-D157</f>
        <v>13150000</v>
      </c>
      <c r="D157" s="282">
        <v>250000</v>
      </c>
      <c r="E157" s="308">
        <f>$E$11+$E$12</f>
        <v>0.0641</v>
      </c>
      <c r="F157" s="285">
        <f>B157*C156*E157/I157</f>
        <v>214146.68493150684</v>
      </c>
      <c r="G157" s="282"/>
      <c r="H157" s="286"/>
      <c r="I157" s="256">
        <v>365</v>
      </c>
      <c r="J157" s="256"/>
    </row>
    <row r="158" spans="1:10" ht="12.75" outlineLevel="1">
      <c r="A158" s="307">
        <v>49582</v>
      </c>
      <c r="B158" s="282">
        <f>A158-A157</f>
        <v>92</v>
      </c>
      <c r="C158" s="282">
        <f>C157-D158</f>
        <v>12900000</v>
      </c>
      <c r="D158" s="282">
        <v>250000</v>
      </c>
      <c r="E158" s="308">
        <f>$E$11+$E$12</f>
        <v>0.0641</v>
      </c>
      <c r="F158" s="285">
        <f>B158*C157*E158/I158</f>
        <v>212460.76712328766</v>
      </c>
      <c r="G158" s="282"/>
      <c r="H158" s="286"/>
      <c r="I158" s="256">
        <v>365</v>
      </c>
      <c r="J158" s="256"/>
    </row>
    <row r="159" spans="1:10" ht="12.75" outlineLevel="1">
      <c r="A159" s="307">
        <v>49674</v>
      </c>
      <c r="B159" s="282">
        <f>A159-A158</f>
        <v>92</v>
      </c>
      <c r="C159" s="282">
        <f>C158-D159</f>
        <v>12650000</v>
      </c>
      <c r="D159" s="282">
        <v>250000</v>
      </c>
      <c r="E159" s="308">
        <f>$E$11+$E$12</f>
        <v>0.0641</v>
      </c>
      <c r="F159" s="285">
        <f>B159*C158*E159/I159</f>
        <v>208421.5890410959</v>
      </c>
      <c r="G159" s="282"/>
      <c r="H159" s="286"/>
      <c r="I159" s="256">
        <v>365</v>
      </c>
      <c r="J159" s="256"/>
    </row>
    <row r="160" spans="1:10" ht="12.75" outlineLevel="1">
      <c r="A160" s="309"/>
      <c r="B160" s="288"/>
      <c r="C160" s="288">
        <f>C159</f>
        <v>12650000</v>
      </c>
      <c r="D160" s="288">
        <f>SUM(D156:D159)</f>
        <v>1000000</v>
      </c>
      <c r="E160" s="289"/>
      <c r="F160" s="274">
        <f>SUM(F156:F159)</f>
        <v>850773.8356164384</v>
      </c>
      <c r="G160" s="288"/>
      <c r="H160" s="290"/>
      <c r="I160" s="256"/>
      <c r="J160" s="256"/>
    </row>
    <row r="161" spans="1:10" ht="12.75" outlineLevel="1">
      <c r="A161" s="310"/>
      <c r="B161" s="311"/>
      <c r="C161" s="311"/>
      <c r="D161" s="311"/>
      <c r="E161" s="314"/>
      <c r="F161" s="315"/>
      <c r="G161" s="311"/>
      <c r="H161" s="313"/>
      <c r="I161" s="256"/>
      <c r="J161" s="256"/>
    </row>
    <row r="162" spans="1:10" ht="12.75" outlineLevel="1">
      <c r="A162" s="864" t="s">
        <v>113</v>
      </c>
      <c r="B162" s="864"/>
      <c r="C162" s="864"/>
      <c r="D162" s="864"/>
      <c r="E162" s="864"/>
      <c r="F162" s="864"/>
      <c r="G162" s="864"/>
      <c r="H162" s="864"/>
      <c r="I162" s="256"/>
      <c r="J162" s="256"/>
    </row>
    <row r="163" spans="1:10" ht="12.75" outlineLevel="1">
      <c r="A163" s="271"/>
      <c r="B163" s="272"/>
      <c r="C163" s="272"/>
      <c r="D163" s="272"/>
      <c r="E163" s="273"/>
      <c r="F163" s="274"/>
      <c r="G163" s="272"/>
      <c r="H163" s="275"/>
      <c r="I163" s="256"/>
      <c r="J163" s="256"/>
    </row>
    <row r="164" spans="1:10" ht="22.5" outlineLevel="1">
      <c r="A164" s="276" t="s">
        <v>114</v>
      </c>
      <c r="B164" s="277" t="s">
        <v>115</v>
      </c>
      <c r="C164" s="277" t="s">
        <v>116</v>
      </c>
      <c r="D164" s="277" t="s">
        <v>117</v>
      </c>
      <c r="E164" s="278" t="s">
        <v>118</v>
      </c>
      <c r="F164" s="279" t="s">
        <v>48</v>
      </c>
      <c r="G164" s="277"/>
      <c r="H164" s="280"/>
      <c r="I164" s="256"/>
      <c r="J164" s="256"/>
    </row>
    <row r="165" spans="1:10" ht="12.75" outlineLevel="1">
      <c r="A165" s="281">
        <v>2036</v>
      </c>
      <c r="B165" s="282"/>
      <c r="C165" s="282">
        <f>C160</f>
        <v>12650000</v>
      </c>
      <c r="D165" s="282"/>
      <c r="E165" s="284"/>
      <c r="F165" s="285"/>
      <c r="G165" s="282"/>
      <c r="H165" s="286"/>
      <c r="I165" s="256"/>
      <c r="J165" s="256"/>
    </row>
    <row r="166" spans="1:10" ht="12.75" outlineLevel="1">
      <c r="A166" s="307">
        <v>49765</v>
      </c>
      <c r="B166" s="282">
        <f>A166-A159</f>
        <v>91</v>
      </c>
      <c r="C166" s="282">
        <f>C165-D166</f>
        <v>12362500</v>
      </c>
      <c r="D166" s="282">
        <v>287500</v>
      </c>
      <c r="E166" s="308">
        <f>$E$11+$E$12</f>
        <v>0.0641</v>
      </c>
      <c r="F166" s="285">
        <f>B166*C165*E166/I166</f>
        <v>202160.86301369863</v>
      </c>
      <c r="G166" s="282"/>
      <c r="H166" s="286"/>
      <c r="I166" s="256">
        <v>365</v>
      </c>
      <c r="J166" s="256"/>
    </row>
    <row r="167" spans="1:10" ht="12.75" outlineLevel="1">
      <c r="A167" s="307">
        <v>49856</v>
      </c>
      <c r="B167" s="282">
        <f>A167-A166</f>
        <v>91</v>
      </c>
      <c r="C167" s="282">
        <f>C166-D167</f>
        <v>12075000</v>
      </c>
      <c r="D167" s="282">
        <v>287500</v>
      </c>
      <c r="E167" s="308">
        <f>$E$11+$E$12</f>
        <v>0.0641</v>
      </c>
      <c r="F167" s="285">
        <f>B167*C166*E167/I167</f>
        <v>197566.29794520547</v>
      </c>
      <c r="G167" s="282"/>
      <c r="H167" s="286"/>
      <c r="I167" s="256">
        <v>365</v>
      </c>
      <c r="J167" s="256"/>
    </row>
    <row r="168" spans="1:10" ht="12.75" outlineLevel="1">
      <c r="A168" s="307">
        <v>49948</v>
      </c>
      <c r="B168" s="282">
        <f>A168-A167</f>
        <v>92</v>
      </c>
      <c r="C168" s="282">
        <f>C167-D168</f>
        <v>11787500</v>
      </c>
      <c r="D168" s="282">
        <v>287500</v>
      </c>
      <c r="E168" s="308">
        <f>$E$11+$E$12</f>
        <v>0.0641</v>
      </c>
      <c r="F168" s="285">
        <f>B168*C167*E168/I168</f>
        <v>195092.301369863</v>
      </c>
      <c r="G168" s="282"/>
      <c r="H168" s="286"/>
      <c r="I168" s="256">
        <v>365</v>
      </c>
      <c r="J168" s="256"/>
    </row>
    <row r="169" spans="1:10" ht="12.75" outlineLevel="1">
      <c r="A169" s="307">
        <v>50040</v>
      </c>
      <c r="B169" s="282">
        <f>A169-A168</f>
        <v>92</v>
      </c>
      <c r="C169" s="282">
        <f>C168-D169</f>
        <v>11500000</v>
      </c>
      <c r="D169" s="282">
        <v>287500</v>
      </c>
      <c r="E169" s="308">
        <f>$E$11+$E$12</f>
        <v>0.0641</v>
      </c>
      <c r="F169" s="285">
        <f>B169*C168*E169/I169</f>
        <v>190447.24657534246</v>
      </c>
      <c r="G169" s="282"/>
      <c r="H169" s="286"/>
      <c r="I169" s="256">
        <v>365</v>
      </c>
      <c r="J169" s="256"/>
    </row>
    <row r="170" spans="1:10" ht="12.75" outlineLevel="1">
      <c r="A170" s="309"/>
      <c r="B170" s="288"/>
      <c r="C170" s="288">
        <f>C169</f>
        <v>11500000</v>
      </c>
      <c r="D170" s="288">
        <f>SUM(D166:D169)</f>
        <v>1150000</v>
      </c>
      <c r="E170" s="289"/>
      <c r="F170" s="274">
        <f>SUM(F166:F169)</f>
        <v>785266.7089041095</v>
      </c>
      <c r="G170" s="288"/>
      <c r="H170" s="290"/>
      <c r="I170" s="256"/>
      <c r="J170" s="256"/>
    </row>
    <row r="171" spans="1:10" ht="12.75" outlineLevel="1">
      <c r="A171" s="310"/>
      <c r="B171" s="311"/>
      <c r="C171" s="311"/>
      <c r="D171" s="311"/>
      <c r="E171" s="314"/>
      <c r="F171" s="315"/>
      <c r="G171" s="311"/>
      <c r="H171" s="313"/>
      <c r="I171" s="256"/>
      <c r="J171" s="256"/>
    </row>
    <row r="172" spans="1:10" ht="12.75" outlineLevel="1">
      <c r="A172" s="864" t="s">
        <v>113</v>
      </c>
      <c r="B172" s="864"/>
      <c r="C172" s="864"/>
      <c r="D172" s="864"/>
      <c r="E172" s="864"/>
      <c r="F172" s="864"/>
      <c r="G172" s="864"/>
      <c r="H172" s="864"/>
      <c r="I172" s="256"/>
      <c r="J172" s="256"/>
    </row>
    <row r="173" spans="1:10" ht="12.75" outlineLevel="1">
      <c r="A173" s="271"/>
      <c r="B173" s="272"/>
      <c r="C173" s="272"/>
      <c r="D173" s="272"/>
      <c r="E173" s="273"/>
      <c r="F173" s="274"/>
      <c r="G173" s="272"/>
      <c r="H173" s="275"/>
      <c r="I173" s="256"/>
      <c r="J173" s="256"/>
    </row>
    <row r="174" spans="1:10" ht="22.5" outlineLevel="1">
      <c r="A174" s="276" t="s">
        <v>114</v>
      </c>
      <c r="B174" s="277" t="s">
        <v>115</v>
      </c>
      <c r="C174" s="277" t="s">
        <v>116</v>
      </c>
      <c r="D174" s="277" t="s">
        <v>117</v>
      </c>
      <c r="E174" s="278" t="s">
        <v>118</v>
      </c>
      <c r="F174" s="279" t="s">
        <v>48</v>
      </c>
      <c r="G174" s="277"/>
      <c r="H174" s="280"/>
      <c r="I174" s="256"/>
      <c r="J174" s="256"/>
    </row>
    <row r="175" spans="1:10" ht="12.75" outlineLevel="1">
      <c r="A175" s="281" t="s">
        <v>135</v>
      </c>
      <c r="B175" s="282"/>
      <c r="C175" s="282">
        <f>C170</f>
        <v>11500000</v>
      </c>
      <c r="D175" s="282"/>
      <c r="E175" s="284"/>
      <c r="F175" s="285"/>
      <c r="G175" s="282"/>
      <c r="H175" s="286"/>
      <c r="I175" s="256"/>
      <c r="J175" s="256"/>
    </row>
    <row r="176" spans="1:10" ht="12.75" outlineLevel="1">
      <c r="A176" s="307">
        <v>50130</v>
      </c>
      <c r="B176" s="282">
        <v>90</v>
      </c>
      <c r="C176" s="282">
        <f>C175-D176</f>
        <v>10750000</v>
      </c>
      <c r="D176" s="282">
        <v>750000</v>
      </c>
      <c r="E176" s="308">
        <f>$E$11+$E$12</f>
        <v>0.0641</v>
      </c>
      <c r="F176" s="285">
        <f>B176*C175*E176/I176</f>
        <v>181763.01369863015</v>
      </c>
      <c r="G176" s="282"/>
      <c r="H176" s="286"/>
      <c r="I176" s="256">
        <v>365</v>
      </c>
      <c r="J176" s="256"/>
    </row>
    <row r="177" spans="1:10" ht="12.75" outlineLevel="1">
      <c r="A177" s="307">
        <v>50221</v>
      </c>
      <c r="B177" s="282">
        <f>A177-A176</f>
        <v>91</v>
      </c>
      <c r="C177" s="282">
        <f>C176-D177</f>
        <v>10000000</v>
      </c>
      <c r="D177" s="282">
        <v>750000</v>
      </c>
      <c r="E177" s="308">
        <f>$E$11+$E$12</f>
        <v>0.0641</v>
      </c>
      <c r="F177" s="285">
        <f>B177*C176*E177/I177</f>
        <v>171796.78082191784</v>
      </c>
      <c r="G177" s="282"/>
      <c r="H177" s="286"/>
      <c r="I177" s="256">
        <v>365</v>
      </c>
      <c r="J177" s="256"/>
    </row>
    <row r="178" spans="1:10" ht="12.75" outlineLevel="1">
      <c r="A178" s="307">
        <v>50313</v>
      </c>
      <c r="B178" s="282">
        <f>A178-A177</f>
        <v>92</v>
      </c>
      <c r="C178" s="282">
        <f>C177-D178</f>
        <v>9250000</v>
      </c>
      <c r="D178" s="282">
        <v>750000</v>
      </c>
      <c r="E178" s="308">
        <f>$E$11+$E$12</f>
        <v>0.0641</v>
      </c>
      <c r="F178" s="285">
        <f>B178*C177*E178/I178</f>
        <v>161567.12328767125</v>
      </c>
      <c r="G178" s="282"/>
      <c r="H178" s="286"/>
      <c r="I178" s="256">
        <v>365</v>
      </c>
      <c r="J178" s="256"/>
    </row>
    <row r="179" spans="1:10" ht="12.75" outlineLevel="1">
      <c r="A179" s="307">
        <v>50405</v>
      </c>
      <c r="B179" s="282">
        <f>A179-A178</f>
        <v>92</v>
      </c>
      <c r="C179" s="282">
        <f>C178-D179</f>
        <v>8500000</v>
      </c>
      <c r="D179" s="282">
        <v>750000</v>
      </c>
      <c r="E179" s="308">
        <f>$E$11+$E$12</f>
        <v>0.0641</v>
      </c>
      <c r="F179" s="285">
        <f>B179*C178*E179/I179</f>
        <v>149449.5890410959</v>
      </c>
      <c r="G179" s="282"/>
      <c r="H179" s="286"/>
      <c r="I179" s="256">
        <v>365</v>
      </c>
      <c r="J179" s="256"/>
    </row>
    <row r="180" spans="1:10" ht="12.75" outlineLevel="1">
      <c r="A180" s="309"/>
      <c r="B180" s="288"/>
      <c r="C180" s="288">
        <f>C179</f>
        <v>8500000</v>
      </c>
      <c r="D180" s="288">
        <f>SUM(D176:D179)</f>
        <v>3000000</v>
      </c>
      <c r="E180" s="289"/>
      <c r="F180" s="274">
        <f>SUM(F176:F179)</f>
        <v>664576.5068493151</v>
      </c>
      <c r="G180" s="288"/>
      <c r="H180" s="290"/>
      <c r="I180" s="256"/>
      <c r="J180" s="256"/>
    </row>
    <row r="181" spans="1:10" ht="12.75" outlineLevel="1">
      <c r="A181" s="256"/>
      <c r="B181" s="255"/>
      <c r="C181" s="255"/>
      <c r="D181" s="255"/>
      <c r="E181" s="257"/>
      <c r="F181" s="258"/>
      <c r="G181" s="255"/>
      <c r="H181" s="255"/>
      <c r="I181" s="256"/>
      <c r="J181" s="256"/>
    </row>
    <row r="182" spans="1:9" ht="12.75" outlineLevel="1">
      <c r="A182" s="864" t="s">
        <v>113</v>
      </c>
      <c r="B182" s="864"/>
      <c r="C182" s="864"/>
      <c r="D182" s="864"/>
      <c r="E182" s="864"/>
      <c r="F182" s="864"/>
      <c r="G182" s="864"/>
      <c r="H182" s="864"/>
      <c r="I182" s="256"/>
    </row>
    <row r="183" spans="1:9" ht="12.75" outlineLevel="1">
      <c r="A183" s="271"/>
      <c r="B183" s="272"/>
      <c r="C183" s="272"/>
      <c r="D183" s="272"/>
      <c r="E183" s="273"/>
      <c r="F183" s="274"/>
      <c r="G183" s="272"/>
      <c r="H183" s="275"/>
      <c r="I183" s="256"/>
    </row>
    <row r="184" spans="1:9" ht="22.5" outlineLevel="1">
      <c r="A184" s="276" t="s">
        <v>114</v>
      </c>
      <c r="B184" s="277" t="s">
        <v>115</v>
      </c>
      <c r="C184" s="277" t="s">
        <v>116</v>
      </c>
      <c r="D184" s="277" t="s">
        <v>117</v>
      </c>
      <c r="E184" s="278" t="s">
        <v>118</v>
      </c>
      <c r="F184" s="279" t="s">
        <v>48</v>
      </c>
      <c r="G184" s="277"/>
      <c r="H184" s="280"/>
      <c r="I184" s="256"/>
    </row>
    <row r="185" spans="1:9" ht="12.75" outlineLevel="1">
      <c r="A185" s="281" t="s">
        <v>136</v>
      </c>
      <c r="B185" s="282"/>
      <c r="C185" s="282">
        <f>C180</f>
        <v>8500000</v>
      </c>
      <c r="D185" s="282"/>
      <c r="E185" s="284"/>
      <c r="F185" s="285"/>
      <c r="G185" s="282"/>
      <c r="H185" s="286"/>
      <c r="I185" s="256"/>
    </row>
    <row r="186" spans="1:9" ht="12.75" outlineLevel="1">
      <c r="A186" s="307">
        <v>50495</v>
      </c>
      <c r="B186" s="282">
        <f>A186-A179</f>
        <v>90</v>
      </c>
      <c r="C186" s="282">
        <f>C185-D186</f>
        <v>8000000</v>
      </c>
      <c r="D186" s="282">
        <v>500000</v>
      </c>
      <c r="E186" s="308">
        <f>$E$11+$E$12</f>
        <v>0.0641</v>
      </c>
      <c r="F186" s="285">
        <f>B186*C185*E186/I186</f>
        <v>134346.57534246575</v>
      </c>
      <c r="G186" s="282"/>
      <c r="H186" s="286"/>
      <c r="I186" s="256">
        <v>365</v>
      </c>
    </row>
    <row r="187" spans="1:9" ht="12.75" outlineLevel="1">
      <c r="A187" s="307">
        <v>50586</v>
      </c>
      <c r="B187" s="282">
        <f>A187-A186</f>
        <v>91</v>
      </c>
      <c r="C187" s="282">
        <f>C186-D187</f>
        <v>7500000</v>
      </c>
      <c r="D187" s="282">
        <v>500000</v>
      </c>
      <c r="E187" s="308">
        <f>$E$11+$E$12</f>
        <v>0.0641</v>
      </c>
      <c r="F187" s="285">
        <f>B187*C186*E187/I187</f>
        <v>127848.76712328767</v>
      </c>
      <c r="G187" s="282"/>
      <c r="H187" s="286"/>
      <c r="I187" s="256">
        <v>365</v>
      </c>
    </row>
    <row r="188" spans="1:10" ht="12.75" outlineLevel="1">
      <c r="A188" s="307">
        <v>50678</v>
      </c>
      <c r="B188" s="282">
        <f>A188-A187</f>
        <v>92</v>
      </c>
      <c r="C188" s="282">
        <f>C187-D188</f>
        <v>7000000</v>
      </c>
      <c r="D188" s="282">
        <v>500000</v>
      </c>
      <c r="E188" s="308">
        <f>$E$11+$E$12</f>
        <v>0.0641</v>
      </c>
      <c r="F188" s="285">
        <f>B188*C187*E188/I188</f>
        <v>121175.34246575342</v>
      </c>
      <c r="G188" s="282"/>
      <c r="H188" s="286"/>
      <c r="I188" s="256">
        <v>365</v>
      </c>
      <c r="J188" s="256"/>
    </row>
    <row r="189" spans="1:10" ht="12.75" outlineLevel="1">
      <c r="A189" s="307">
        <v>50770</v>
      </c>
      <c r="B189" s="282">
        <f>A189-A188</f>
        <v>92</v>
      </c>
      <c r="C189" s="282">
        <f>C188-D189</f>
        <v>6500000</v>
      </c>
      <c r="D189" s="282">
        <v>500000</v>
      </c>
      <c r="E189" s="308">
        <f>$E$11+$E$12</f>
        <v>0.0641</v>
      </c>
      <c r="F189" s="285">
        <f>B189*C188*E189/I189</f>
        <v>113096.98630136986</v>
      </c>
      <c r="G189" s="282"/>
      <c r="H189" s="286"/>
      <c r="I189" s="256">
        <v>365</v>
      </c>
      <c r="J189" s="256"/>
    </row>
    <row r="190" spans="1:9" ht="12.75" outlineLevel="1">
      <c r="A190" s="309"/>
      <c r="B190" s="288"/>
      <c r="C190" s="288">
        <f>C189</f>
        <v>6500000</v>
      </c>
      <c r="D190" s="288">
        <f>SUM(D186:D189)</f>
        <v>2000000</v>
      </c>
      <c r="E190" s="289"/>
      <c r="F190" s="274">
        <f>SUM(F186:F189)</f>
        <v>496467.6712328767</v>
      </c>
      <c r="G190" s="288"/>
      <c r="H190" s="290"/>
      <c r="I190" s="256"/>
    </row>
    <row r="191" ht="12.75" outlineLevel="1"/>
    <row r="192" spans="1:9" ht="12.75" outlineLevel="1">
      <c r="A192" s="864" t="s">
        <v>113</v>
      </c>
      <c r="B192" s="864"/>
      <c r="C192" s="864"/>
      <c r="D192" s="864"/>
      <c r="E192" s="864"/>
      <c r="F192" s="864"/>
      <c r="G192" s="864"/>
      <c r="H192" s="864"/>
      <c r="I192" s="256"/>
    </row>
    <row r="193" spans="1:9" ht="12.75" outlineLevel="1">
      <c r="A193" s="271"/>
      <c r="B193" s="272"/>
      <c r="C193" s="272"/>
      <c r="D193" s="272"/>
      <c r="E193" s="273"/>
      <c r="F193" s="274"/>
      <c r="G193" s="272"/>
      <c r="H193" s="275"/>
      <c r="I193" s="256"/>
    </row>
    <row r="194" spans="1:9" ht="22.5" outlineLevel="1">
      <c r="A194" s="276" t="s">
        <v>114</v>
      </c>
      <c r="B194" s="277" t="s">
        <v>115</v>
      </c>
      <c r="C194" s="277" t="s">
        <v>116</v>
      </c>
      <c r="D194" s="277" t="s">
        <v>117</v>
      </c>
      <c r="E194" s="278" t="s">
        <v>118</v>
      </c>
      <c r="F194" s="279" t="s">
        <v>48</v>
      </c>
      <c r="G194" s="277"/>
      <c r="H194" s="280"/>
      <c r="I194" s="256"/>
    </row>
    <row r="195" spans="1:9" ht="12.75" outlineLevel="1">
      <c r="A195" s="281" t="s">
        <v>137</v>
      </c>
      <c r="B195" s="282"/>
      <c r="C195" s="282">
        <f>C190</f>
        <v>6500000</v>
      </c>
      <c r="D195" s="282"/>
      <c r="E195" s="284"/>
      <c r="F195" s="285"/>
      <c r="G195" s="282"/>
      <c r="H195" s="286"/>
      <c r="I195" s="256"/>
    </row>
    <row r="196" spans="1:9" ht="12.75" outlineLevel="1">
      <c r="A196" s="307">
        <v>50860</v>
      </c>
      <c r="B196" s="282">
        <f>A196-A189</f>
        <v>90</v>
      </c>
      <c r="C196" s="282">
        <f>C195-D196</f>
        <v>6000000</v>
      </c>
      <c r="D196" s="282">
        <v>500000</v>
      </c>
      <c r="E196" s="308">
        <f>$E$11+$E$12</f>
        <v>0.0641</v>
      </c>
      <c r="F196" s="285">
        <f>B196*C195*E196/I196</f>
        <v>102735.61643835617</v>
      </c>
      <c r="G196" s="282"/>
      <c r="H196" s="286"/>
      <c r="I196" s="256">
        <v>365</v>
      </c>
    </row>
    <row r="197" spans="1:9" ht="12.75" outlineLevel="1">
      <c r="A197" s="307">
        <v>50951</v>
      </c>
      <c r="B197" s="282">
        <f>A197-A196</f>
        <v>91</v>
      </c>
      <c r="C197" s="282">
        <f>C196-D197</f>
        <v>5500000</v>
      </c>
      <c r="D197" s="282">
        <v>500000</v>
      </c>
      <c r="E197" s="308">
        <f>$E$11+$E$12</f>
        <v>0.0641</v>
      </c>
      <c r="F197" s="285">
        <f>B197*C196*E197/I197</f>
        <v>95886.57534246576</v>
      </c>
      <c r="G197" s="282"/>
      <c r="H197" s="286"/>
      <c r="I197" s="256">
        <v>365</v>
      </c>
    </row>
    <row r="198" spans="1:9" ht="12.75" outlineLevel="1">
      <c r="A198" s="307">
        <v>51043</v>
      </c>
      <c r="B198" s="282">
        <f>A198-A197</f>
        <v>92</v>
      </c>
      <c r="C198" s="282">
        <f>C197-D198</f>
        <v>5000000</v>
      </c>
      <c r="D198" s="282">
        <v>500000</v>
      </c>
      <c r="E198" s="308">
        <f>$E$11+$E$12</f>
        <v>0.0641</v>
      </c>
      <c r="F198" s="285">
        <f>B198*C197*E198/I198</f>
        <v>88861.9178082192</v>
      </c>
      <c r="G198" s="282"/>
      <c r="H198" s="286"/>
      <c r="I198" s="256">
        <v>365</v>
      </c>
    </row>
    <row r="199" spans="1:9" ht="12.75" outlineLevel="1">
      <c r="A199" s="307">
        <v>51135</v>
      </c>
      <c r="B199" s="282">
        <f>A199-A198</f>
        <v>92</v>
      </c>
      <c r="C199" s="282">
        <f>C198-D199</f>
        <v>4500000</v>
      </c>
      <c r="D199" s="282">
        <v>500000</v>
      </c>
      <c r="E199" s="308">
        <f>$E$11+$E$12</f>
        <v>0.0641</v>
      </c>
      <c r="F199" s="285">
        <f>B199*C198*E199/I199</f>
        <v>80783.56164383562</v>
      </c>
      <c r="G199" s="282"/>
      <c r="H199" s="286"/>
      <c r="I199" s="256">
        <v>365</v>
      </c>
    </row>
    <row r="200" spans="1:9" ht="12.75" outlineLevel="1">
      <c r="A200" s="309"/>
      <c r="B200" s="288"/>
      <c r="C200" s="288">
        <f>C199</f>
        <v>4500000</v>
      </c>
      <c r="D200" s="288">
        <f>SUM(D196:D199)</f>
        <v>2000000</v>
      </c>
      <c r="E200" s="289"/>
      <c r="F200" s="274">
        <f>SUM(F196:F199)</f>
        <v>368267.6712328768</v>
      </c>
      <c r="G200" s="288"/>
      <c r="H200" s="290"/>
      <c r="I200" s="256"/>
    </row>
    <row r="201" ht="12.75" outlineLevel="1"/>
    <row r="202" spans="1:9" ht="12.75" outlineLevel="1">
      <c r="A202" s="864" t="s">
        <v>113</v>
      </c>
      <c r="B202" s="864"/>
      <c r="C202" s="864"/>
      <c r="D202" s="864"/>
      <c r="E202" s="864"/>
      <c r="F202" s="864"/>
      <c r="G202" s="864"/>
      <c r="H202" s="864"/>
      <c r="I202" s="256"/>
    </row>
    <row r="203" spans="1:9" ht="12.75" outlineLevel="1">
      <c r="A203" s="271"/>
      <c r="B203" s="272"/>
      <c r="C203" s="272"/>
      <c r="D203" s="272"/>
      <c r="E203" s="273"/>
      <c r="F203" s="274"/>
      <c r="G203" s="272"/>
      <c r="H203" s="275"/>
      <c r="I203" s="256"/>
    </row>
    <row r="204" spans="1:9" ht="22.5" outlineLevel="1">
      <c r="A204" s="276" t="s">
        <v>114</v>
      </c>
      <c r="B204" s="277" t="s">
        <v>115</v>
      </c>
      <c r="C204" s="277" t="s">
        <v>116</v>
      </c>
      <c r="D204" s="277" t="s">
        <v>117</v>
      </c>
      <c r="E204" s="278" t="s">
        <v>118</v>
      </c>
      <c r="F204" s="279" t="s">
        <v>48</v>
      </c>
      <c r="G204" s="277"/>
      <c r="H204" s="280"/>
      <c r="I204" s="256"/>
    </row>
    <row r="205" spans="1:9" ht="12.75" outlineLevel="1">
      <c r="A205" s="281" t="s">
        <v>138</v>
      </c>
      <c r="B205" s="282"/>
      <c r="C205" s="282">
        <f>C200</f>
        <v>4500000</v>
      </c>
      <c r="D205" s="282"/>
      <c r="E205" s="284"/>
      <c r="F205" s="285"/>
      <c r="G205" s="282"/>
      <c r="H205" s="286"/>
      <c r="I205" s="256"/>
    </row>
    <row r="206" spans="1:10" ht="12.75" outlineLevel="1">
      <c r="A206" s="307">
        <v>51226</v>
      </c>
      <c r="B206" s="282">
        <f>A206-A199</f>
        <v>91</v>
      </c>
      <c r="C206" s="282">
        <f>C205-D206</f>
        <v>4000000</v>
      </c>
      <c r="D206" s="282">
        <v>500000</v>
      </c>
      <c r="E206" s="308">
        <f>$E$11+$E$12</f>
        <v>0.0641</v>
      </c>
      <c r="F206" s="285">
        <f>B206*C205*E206/I206</f>
        <v>71914.93150684932</v>
      </c>
      <c r="G206" s="282"/>
      <c r="H206" s="286"/>
      <c r="I206" s="256">
        <v>365</v>
      </c>
      <c r="J206" s="256"/>
    </row>
    <row r="207" spans="1:10" ht="12.75" outlineLevel="1">
      <c r="A207" s="307">
        <v>51317</v>
      </c>
      <c r="B207" s="282">
        <f>A207-A206</f>
        <v>91</v>
      </c>
      <c r="C207" s="282">
        <f>C206-D207</f>
        <v>3500000</v>
      </c>
      <c r="D207" s="282">
        <v>500000</v>
      </c>
      <c r="E207" s="308">
        <f>$E$11+$E$12</f>
        <v>0.0641</v>
      </c>
      <c r="F207" s="285">
        <f>B207*C206*E207/I207</f>
        <v>63924.38356164384</v>
      </c>
      <c r="G207" s="282"/>
      <c r="H207" s="286"/>
      <c r="I207" s="256">
        <v>365</v>
      </c>
      <c r="J207" s="256"/>
    </row>
    <row r="208" spans="1:10" ht="12.75" outlineLevel="1">
      <c r="A208" s="307">
        <v>51409</v>
      </c>
      <c r="B208" s="282">
        <f>A208-A207</f>
        <v>92</v>
      </c>
      <c r="C208" s="282">
        <f>C207-D208</f>
        <v>3000000</v>
      </c>
      <c r="D208" s="282">
        <v>500000</v>
      </c>
      <c r="E208" s="308">
        <f>$E$11+$E$12</f>
        <v>0.0641</v>
      </c>
      <c r="F208" s="285">
        <f>B208*C207*E208/I208</f>
        <v>56548.49315068493</v>
      </c>
      <c r="G208" s="282"/>
      <c r="H208" s="286"/>
      <c r="I208" s="256">
        <v>365</v>
      </c>
      <c r="J208" s="256"/>
    </row>
    <row r="209" spans="1:10" ht="12.75" outlineLevel="1">
      <c r="A209" s="307">
        <v>51501</v>
      </c>
      <c r="B209" s="282">
        <f>A209-A208</f>
        <v>92</v>
      </c>
      <c r="C209" s="282">
        <f>C208-D209</f>
        <v>2500000</v>
      </c>
      <c r="D209" s="282">
        <v>500000</v>
      </c>
      <c r="E209" s="308">
        <f>$E$11+$E$12</f>
        <v>0.0641</v>
      </c>
      <c r="F209" s="285">
        <f>B209*C208*E209/I209</f>
        <v>48470.13698630137</v>
      </c>
      <c r="G209" s="282"/>
      <c r="H209" s="286"/>
      <c r="I209" s="256">
        <v>365</v>
      </c>
      <c r="J209" s="256"/>
    </row>
    <row r="210" spans="1:10" ht="12.75" outlineLevel="1">
      <c r="A210" s="309"/>
      <c r="B210" s="288"/>
      <c r="C210" s="288">
        <f>C209</f>
        <v>2500000</v>
      </c>
      <c r="D210" s="288">
        <f>SUM(D206:D209)</f>
        <v>2000000</v>
      </c>
      <c r="E210" s="289"/>
      <c r="F210" s="274">
        <f>SUM(F206:F209)</f>
        <v>240857.94520547945</v>
      </c>
      <c r="G210" s="288"/>
      <c r="H210" s="290"/>
      <c r="I210" s="256"/>
      <c r="J210" s="256"/>
    </row>
    <row r="211" spans="1:10" ht="12.75" outlineLevel="1">
      <c r="A211" s="256"/>
      <c r="B211" s="255"/>
      <c r="G211" s="255"/>
      <c r="H211" s="255"/>
      <c r="I211" s="256"/>
      <c r="J211" s="256"/>
    </row>
    <row r="212" spans="1:9" ht="12.75" outlineLevel="1">
      <c r="A212" s="864" t="s">
        <v>113</v>
      </c>
      <c r="B212" s="864"/>
      <c r="C212" s="864"/>
      <c r="D212" s="864"/>
      <c r="E212" s="864"/>
      <c r="F212" s="864"/>
      <c r="G212" s="864"/>
      <c r="H212" s="864"/>
      <c r="I212" s="256"/>
    </row>
    <row r="213" spans="1:9" ht="12.75" outlineLevel="1">
      <c r="A213" s="271"/>
      <c r="B213" s="272"/>
      <c r="C213" s="272"/>
      <c r="D213" s="272"/>
      <c r="E213" s="273"/>
      <c r="F213" s="274"/>
      <c r="G213" s="272"/>
      <c r="H213" s="275"/>
      <c r="I213" s="256"/>
    </row>
    <row r="214" spans="1:9" ht="22.5" outlineLevel="1">
      <c r="A214" s="276" t="s">
        <v>114</v>
      </c>
      <c r="B214" s="277" t="s">
        <v>115</v>
      </c>
      <c r="C214" s="277" t="s">
        <v>116</v>
      </c>
      <c r="D214" s="277" t="s">
        <v>117</v>
      </c>
      <c r="E214" s="278" t="s">
        <v>118</v>
      </c>
      <c r="F214" s="279" t="s">
        <v>48</v>
      </c>
      <c r="G214" s="277"/>
      <c r="H214" s="280"/>
      <c r="I214" s="256"/>
    </row>
    <row r="215" spans="1:9" ht="12.75" outlineLevel="1">
      <c r="A215" s="281" t="s">
        <v>139</v>
      </c>
      <c r="B215" s="282"/>
      <c r="C215" s="282">
        <f>C210</f>
        <v>2500000</v>
      </c>
      <c r="D215" s="282"/>
      <c r="E215" s="284"/>
      <c r="F215" s="285"/>
      <c r="G215" s="282"/>
      <c r="H215" s="286"/>
      <c r="I215" s="256"/>
    </row>
    <row r="216" spans="1:9" ht="12.75" outlineLevel="1">
      <c r="A216" s="307">
        <v>51591</v>
      </c>
      <c r="B216" s="282">
        <v>90</v>
      </c>
      <c r="C216" s="282">
        <f>C215-D216</f>
        <v>1875000</v>
      </c>
      <c r="D216" s="282">
        <v>625000</v>
      </c>
      <c r="E216" s="308">
        <f>$E$11+$E$12</f>
        <v>0.0641</v>
      </c>
      <c r="F216" s="285">
        <f>B216*C215*E216/I216</f>
        <v>39513.69863013699</v>
      </c>
      <c r="G216" s="282"/>
      <c r="H216" s="286"/>
      <c r="I216" s="256">
        <v>365</v>
      </c>
    </row>
    <row r="217" spans="1:9" ht="12.75" outlineLevel="1">
      <c r="A217" s="307">
        <v>51682</v>
      </c>
      <c r="B217" s="282">
        <f>A217-A216</f>
        <v>91</v>
      </c>
      <c r="C217" s="282">
        <f>C216-D217</f>
        <v>1250000</v>
      </c>
      <c r="D217" s="282">
        <v>625000</v>
      </c>
      <c r="E217" s="308">
        <f>$E$11+$E$12</f>
        <v>0.0641</v>
      </c>
      <c r="F217" s="285">
        <f>B217*C216*E217/I217</f>
        <v>29964.554794520547</v>
      </c>
      <c r="G217" s="282"/>
      <c r="H217" s="286"/>
      <c r="I217" s="256">
        <v>365</v>
      </c>
    </row>
    <row r="218" spans="1:9" ht="12.75" outlineLevel="1">
      <c r="A218" s="307">
        <v>51774</v>
      </c>
      <c r="B218" s="282">
        <f>A218-A217</f>
        <v>92</v>
      </c>
      <c r="C218" s="282">
        <f>C217-D218</f>
        <v>625000</v>
      </c>
      <c r="D218" s="282">
        <v>625000</v>
      </c>
      <c r="E218" s="308">
        <f>$E$11+$E$12</f>
        <v>0.0641</v>
      </c>
      <c r="F218" s="285">
        <f>B218*C217*E218/I218</f>
        <v>20195.890410958906</v>
      </c>
      <c r="G218" s="282"/>
      <c r="H218" s="286"/>
      <c r="I218" s="256">
        <v>365</v>
      </c>
    </row>
    <row r="219" spans="1:9" ht="12.75" outlineLevel="1">
      <c r="A219" s="307">
        <v>51866</v>
      </c>
      <c r="B219" s="282">
        <f>A219-A218</f>
        <v>92</v>
      </c>
      <c r="C219" s="282">
        <f>C218-D219</f>
        <v>0</v>
      </c>
      <c r="D219" s="282">
        <v>625000</v>
      </c>
      <c r="E219" s="308">
        <f>$E$11+$E$12</f>
        <v>0.0641</v>
      </c>
      <c r="F219" s="285">
        <f>B219*C218*E219/I219</f>
        <v>10097.945205479453</v>
      </c>
      <c r="G219" s="282"/>
      <c r="H219" s="286"/>
      <c r="I219" s="256">
        <v>365</v>
      </c>
    </row>
    <row r="220" spans="1:9" ht="12.75" outlineLevel="1">
      <c r="A220" s="309"/>
      <c r="B220" s="288"/>
      <c r="C220" s="288">
        <f>C219</f>
        <v>0</v>
      </c>
      <c r="D220" s="288">
        <f>SUM(D216:D219)</f>
        <v>2500000</v>
      </c>
      <c r="E220" s="289"/>
      <c r="F220" s="274">
        <f>SUM(F216:F219)</f>
        <v>99772.0890410959</v>
      </c>
      <c r="G220" s="288"/>
      <c r="H220" s="290"/>
      <c r="I220" s="256"/>
    </row>
    <row r="221" ht="12.75" outlineLevel="1"/>
    <row r="222" spans="1:9" ht="12.75" outlineLevel="1">
      <c r="A222" s="864" t="s">
        <v>113</v>
      </c>
      <c r="B222" s="864"/>
      <c r="C222" s="864"/>
      <c r="D222" s="864"/>
      <c r="E222" s="864"/>
      <c r="F222" s="864"/>
      <c r="G222" s="864"/>
      <c r="H222" s="864"/>
      <c r="I222" s="256"/>
    </row>
    <row r="223" spans="1:9" ht="12.75" outlineLevel="1">
      <c r="A223" s="271"/>
      <c r="B223" s="272"/>
      <c r="C223" s="272"/>
      <c r="D223" s="272"/>
      <c r="E223" s="273"/>
      <c r="F223" s="274"/>
      <c r="G223" s="272"/>
      <c r="H223" s="275"/>
      <c r="I223" s="256"/>
    </row>
    <row r="224" spans="1:9" ht="22.5" outlineLevel="1">
      <c r="A224" s="561" t="s">
        <v>114</v>
      </c>
      <c r="B224" s="562" t="s">
        <v>115</v>
      </c>
      <c r="C224" s="562" t="s">
        <v>116</v>
      </c>
      <c r="D224" s="562" t="s">
        <v>117</v>
      </c>
      <c r="E224" s="563" t="s">
        <v>118</v>
      </c>
      <c r="F224" s="564" t="s">
        <v>48</v>
      </c>
      <c r="G224" s="562"/>
      <c r="H224" s="565"/>
      <c r="I224" s="566"/>
    </row>
    <row r="225" spans="1:9" ht="12.75" outlineLevel="1">
      <c r="A225" s="567" t="s">
        <v>210</v>
      </c>
      <c r="B225" s="568"/>
      <c r="C225" s="568">
        <f>C220</f>
        <v>0</v>
      </c>
      <c r="D225" s="568"/>
      <c r="E225" s="569"/>
      <c r="F225" s="570"/>
      <c r="G225" s="568"/>
      <c r="H225" s="571"/>
      <c r="I225" s="566"/>
    </row>
    <row r="226" spans="1:9" ht="12.75" outlineLevel="1">
      <c r="A226" s="572">
        <v>51956</v>
      </c>
      <c r="B226" s="568">
        <f>A226-A219</f>
        <v>90</v>
      </c>
      <c r="C226" s="568">
        <f>C225-D226</f>
        <v>0</v>
      </c>
      <c r="D226" s="282"/>
      <c r="E226" s="573">
        <f>$E$11+$E$12</f>
        <v>0.0641</v>
      </c>
      <c r="F226" s="570">
        <f>B226*C225*E226/I226</f>
        <v>0</v>
      </c>
      <c r="G226" s="568"/>
      <c r="H226" s="571"/>
      <c r="I226" s="566">
        <v>365</v>
      </c>
    </row>
    <row r="227" spans="1:9" ht="12.75" outlineLevel="1">
      <c r="A227" s="572">
        <v>52047</v>
      </c>
      <c r="B227" s="568">
        <f>A227-A226</f>
        <v>91</v>
      </c>
      <c r="C227" s="568">
        <f>C226-D227</f>
        <v>0</v>
      </c>
      <c r="D227" s="282"/>
      <c r="E227" s="573">
        <f>$E$11+$E$12</f>
        <v>0.0641</v>
      </c>
      <c r="F227" s="570">
        <f>B227*C226*E227/I227</f>
        <v>0</v>
      </c>
      <c r="G227" s="568"/>
      <c r="H227" s="571"/>
      <c r="I227" s="566">
        <v>365</v>
      </c>
    </row>
    <row r="228" spans="1:9" ht="12.75" outlineLevel="1">
      <c r="A228" s="572">
        <v>52139</v>
      </c>
      <c r="B228" s="568">
        <f>A228-A227</f>
        <v>92</v>
      </c>
      <c r="C228" s="568">
        <f>C227-D228</f>
        <v>0</v>
      </c>
      <c r="D228" s="282"/>
      <c r="E228" s="573">
        <f>$E$11+$E$12</f>
        <v>0.0641</v>
      </c>
      <c r="F228" s="570">
        <f>B228*C227*E228/I228</f>
        <v>0</v>
      </c>
      <c r="G228" s="568"/>
      <c r="H228" s="571"/>
      <c r="I228" s="566">
        <v>365</v>
      </c>
    </row>
    <row r="229" spans="1:9" ht="12.75" outlineLevel="1">
      <c r="A229" s="572">
        <v>52231</v>
      </c>
      <c r="B229" s="568">
        <f>A229-A228</f>
        <v>92</v>
      </c>
      <c r="C229" s="568">
        <f>C228-D229</f>
        <v>0</v>
      </c>
      <c r="D229" s="282"/>
      <c r="E229" s="573">
        <f>$E$11+$E$12</f>
        <v>0.0641</v>
      </c>
      <c r="F229" s="570">
        <f>B229*C228*E229/I229</f>
        <v>0</v>
      </c>
      <c r="G229" s="568"/>
      <c r="H229" s="571"/>
      <c r="I229" s="566">
        <v>365</v>
      </c>
    </row>
    <row r="230" spans="1:9" ht="12.75" outlineLevel="1">
      <c r="A230" s="574"/>
      <c r="B230" s="575"/>
      <c r="C230" s="575">
        <f>C229</f>
        <v>0</v>
      </c>
      <c r="D230" s="575">
        <f>SUM(D226:D229)</f>
        <v>0</v>
      </c>
      <c r="E230" s="576"/>
      <c r="F230" s="577">
        <f>SUM(F226:F229)</f>
        <v>0</v>
      </c>
      <c r="G230" s="575"/>
      <c r="H230" s="578"/>
      <c r="I230" s="566"/>
    </row>
    <row r="231" spans="1:9" ht="12.75" outlineLevel="1">
      <c r="A231" s="579"/>
      <c r="B231" s="579"/>
      <c r="C231" s="579"/>
      <c r="D231" s="579"/>
      <c r="E231" s="579"/>
      <c r="F231" s="579"/>
      <c r="G231" s="579"/>
      <c r="H231" s="579"/>
      <c r="I231" s="579"/>
    </row>
    <row r="232" spans="1:9" ht="12.75" outlineLevel="1">
      <c r="A232" s="579"/>
      <c r="B232" s="579"/>
      <c r="C232" s="579"/>
      <c r="D232" s="579"/>
      <c r="E232" s="579"/>
      <c r="F232" s="579"/>
      <c r="G232" s="579"/>
      <c r="H232" s="579"/>
      <c r="I232" s="579"/>
    </row>
    <row r="234" spans="1:9" ht="12.75">
      <c r="A234" s="864" t="s">
        <v>113</v>
      </c>
      <c r="B234" s="864"/>
      <c r="C234" s="864"/>
      <c r="D234" s="864"/>
      <c r="E234" s="864"/>
      <c r="F234" s="864"/>
      <c r="G234" s="864"/>
      <c r="H234" s="864"/>
      <c r="I234" s="256"/>
    </row>
    <row r="235" spans="1:9" ht="12.75">
      <c r="A235" s="271"/>
      <c r="B235" s="272"/>
      <c r="C235" s="272"/>
      <c r="D235" s="272"/>
      <c r="E235" s="273"/>
      <c r="F235" s="274"/>
      <c r="G235" s="272"/>
      <c r="H235" s="275"/>
      <c r="I235" s="256"/>
    </row>
    <row r="236" spans="1:9" ht="22.5">
      <c r="A236" s="561" t="s">
        <v>114</v>
      </c>
      <c r="B236" s="562" t="s">
        <v>115</v>
      </c>
      <c r="C236" s="562" t="s">
        <v>116</v>
      </c>
      <c r="D236" s="562" t="s">
        <v>117</v>
      </c>
      <c r="E236" s="563" t="s">
        <v>118</v>
      </c>
      <c r="F236" s="564" t="s">
        <v>48</v>
      </c>
      <c r="G236" s="562"/>
      <c r="H236" s="565"/>
      <c r="I236" s="566"/>
    </row>
    <row r="237" spans="1:17" ht="12.75">
      <c r="A237" s="567">
        <v>2043</v>
      </c>
      <c r="B237" s="568"/>
      <c r="C237" s="568">
        <f>C230</f>
        <v>0</v>
      </c>
      <c r="D237" s="568"/>
      <c r="E237" s="569"/>
      <c r="F237" s="570"/>
      <c r="G237" s="568"/>
      <c r="H237" s="571"/>
      <c r="I237" s="566"/>
      <c r="N237" s="255" t="s">
        <v>140</v>
      </c>
      <c r="O237" s="255" t="s">
        <v>141</v>
      </c>
      <c r="P237" s="257"/>
      <c r="Q237" s="258">
        <f>+F30+F40+F50+F60+F70+F80+F90+F100+F110+F120+F130+F140+F150+F160+F170+F180+F230+F190+F200+F210+F220</f>
        <v>16137296.706849316</v>
      </c>
    </row>
    <row r="238" spans="1:17" ht="12.75">
      <c r="A238" s="572">
        <v>52321</v>
      </c>
      <c r="B238" s="568">
        <f>A238-A229</f>
        <v>90</v>
      </c>
      <c r="C238" s="568">
        <f>C237-D238</f>
        <v>0</v>
      </c>
      <c r="D238" s="282"/>
      <c r="E238" s="573">
        <f>$E$11+$E$12</f>
        <v>0.0641</v>
      </c>
      <c r="F238" s="570">
        <f>B238*C237*E238/I238</f>
        <v>0</v>
      </c>
      <c r="G238" s="568"/>
      <c r="H238" s="571"/>
      <c r="I238" s="566">
        <v>365</v>
      </c>
      <c r="N238" s="255" t="s">
        <v>142</v>
      </c>
      <c r="O238" s="255" t="s">
        <v>141</v>
      </c>
      <c r="P238" s="257"/>
      <c r="Q238" s="258">
        <v>0</v>
      </c>
    </row>
    <row r="239" spans="1:17" ht="12.75">
      <c r="A239" s="572">
        <v>52412</v>
      </c>
      <c r="B239" s="568">
        <f>A239-A238</f>
        <v>91</v>
      </c>
      <c r="C239" s="568">
        <f>C238-D239</f>
        <v>0</v>
      </c>
      <c r="D239" s="282"/>
      <c r="E239" s="573">
        <f>$E$11+$E$12</f>
        <v>0.0641</v>
      </c>
      <c r="F239" s="570">
        <f>B239*C238*E239/I239</f>
        <v>0</v>
      </c>
      <c r="G239" s="568"/>
      <c r="H239" s="571"/>
      <c r="I239" s="566">
        <v>365</v>
      </c>
      <c r="N239" s="255"/>
      <c r="O239" s="255"/>
      <c r="P239" s="257"/>
      <c r="Q239" s="258"/>
    </row>
    <row r="240" spans="1:17" ht="12.75">
      <c r="A240" s="572">
        <v>52504</v>
      </c>
      <c r="B240" s="568">
        <f>A240-A239</f>
        <v>92</v>
      </c>
      <c r="C240" s="568">
        <f>C239-D240</f>
        <v>0</v>
      </c>
      <c r="D240" s="282"/>
      <c r="E240" s="573">
        <f>$E$11+$E$12</f>
        <v>0.0641</v>
      </c>
      <c r="F240" s="570">
        <f>B240*C239*E240/I240</f>
        <v>0</v>
      </c>
      <c r="G240" s="568"/>
      <c r="H240" s="571"/>
      <c r="I240" s="566">
        <v>365</v>
      </c>
      <c r="N240" s="316" t="s">
        <v>143</v>
      </c>
      <c r="O240" s="316" t="s">
        <v>141</v>
      </c>
      <c r="P240" s="317"/>
      <c r="Q240" s="318">
        <f>Q237+Q238</f>
        <v>16137296.706849316</v>
      </c>
    </row>
    <row r="241" spans="1:17" ht="12.75">
      <c r="A241" s="572">
        <v>52596</v>
      </c>
      <c r="B241" s="568">
        <f>A241-A240</f>
        <v>92</v>
      </c>
      <c r="C241" s="568">
        <f>C240-D241</f>
        <v>0</v>
      </c>
      <c r="D241" s="282"/>
      <c r="E241" s="573">
        <f>$E$11+$E$12</f>
        <v>0.0641</v>
      </c>
      <c r="F241" s="570">
        <f>B241*C240*E241/I241</f>
        <v>0</v>
      </c>
      <c r="G241" s="568"/>
      <c r="H241" s="571"/>
      <c r="I241" s="566">
        <v>365</v>
      </c>
      <c r="N241" s="316" t="s">
        <v>143</v>
      </c>
      <c r="O241" s="316" t="s">
        <v>144</v>
      </c>
      <c r="P241" s="317"/>
      <c r="Q241" s="318">
        <f>Q240/4.4465</f>
        <v>3629213.2479139357</v>
      </c>
    </row>
    <row r="242" spans="1:17" ht="12.75">
      <c r="A242" s="574"/>
      <c r="B242" s="575"/>
      <c r="C242" s="575">
        <f>C241</f>
        <v>0</v>
      </c>
      <c r="D242" s="575">
        <f>SUM(D238:D241)</f>
        <v>0</v>
      </c>
      <c r="E242" s="576"/>
      <c r="F242" s="577">
        <f>SUM(F238:F241)</f>
        <v>0</v>
      </c>
      <c r="G242" s="575"/>
      <c r="H242" s="578"/>
      <c r="I242" s="566"/>
      <c r="N242" s="316" t="s">
        <v>145</v>
      </c>
      <c r="O242" s="255"/>
      <c r="P242" s="257"/>
      <c r="Q242" s="258"/>
    </row>
    <row r="243" spans="1:9" ht="12.75">
      <c r="A243" s="579"/>
      <c r="B243" s="579"/>
      <c r="C243" s="579"/>
      <c r="D243" s="579"/>
      <c r="E243" s="579"/>
      <c r="F243" s="579"/>
      <c r="G243" s="579"/>
      <c r="H243" s="579"/>
      <c r="I243" s="579"/>
    </row>
    <row r="244" spans="1:9" ht="12.75">
      <c r="A244" s="579"/>
      <c r="B244" s="579"/>
      <c r="C244" s="579"/>
      <c r="D244" s="579"/>
      <c r="E244" s="579"/>
      <c r="F244" s="579"/>
      <c r="G244" s="579"/>
      <c r="H244" s="579"/>
      <c r="I244" s="579"/>
    </row>
    <row r="246" spans="1:9" ht="12.75">
      <c r="A246" s="864" t="s">
        <v>113</v>
      </c>
      <c r="B246" s="864"/>
      <c r="C246" s="864"/>
      <c r="D246" s="864"/>
      <c r="E246" s="864"/>
      <c r="F246" s="864"/>
      <c r="G246" s="864"/>
      <c r="H246" s="864"/>
      <c r="I246" s="256"/>
    </row>
    <row r="247" spans="1:19" ht="12.75">
      <c r="A247" s="271"/>
      <c r="B247" s="272"/>
      <c r="C247" s="272"/>
      <c r="D247" s="272"/>
      <c r="E247" s="273"/>
      <c r="F247" s="274"/>
      <c r="G247" s="272"/>
      <c r="H247" s="275"/>
      <c r="I247" s="256"/>
      <c r="N247" s="319"/>
      <c r="O247" s="320"/>
      <c r="P247" s="320"/>
      <c r="Q247" s="865"/>
      <c r="R247" s="865"/>
      <c r="S247" s="865"/>
    </row>
    <row r="248" spans="1:19" ht="22.5">
      <c r="A248" s="561" t="s">
        <v>114</v>
      </c>
      <c r="B248" s="562" t="s">
        <v>115</v>
      </c>
      <c r="C248" s="562" t="s">
        <v>116</v>
      </c>
      <c r="D248" s="562" t="s">
        <v>117</v>
      </c>
      <c r="E248" s="563" t="s">
        <v>118</v>
      </c>
      <c r="F248" s="564" t="s">
        <v>48</v>
      </c>
      <c r="G248" s="562"/>
      <c r="H248" s="565"/>
      <c r="I248" s="566"/>
      <c r="N248" s="319"/>
      <c r="O248" s="320"/>
      <c r="P248" s="320"/>
      <c r="Q248" s="865"/>
      <c r="R248" s="865"/>
      <c r="S248" s="865"/>
    </row>
    <row r="249" spans="1:19" ht="12.75">
      <c r="A249" s="567" t="s">
        <v>220</v>
      </c>
      <c r="B249" s="568"/>
      <c r="C249" s="568">
        <f>C242</f>
        <v>0</v>
      </c>
      <c r="D249" s="568"/>
      <c r="E249" s="569"/>
      <c r="F249" s="570"/>
      <c r="G249" s="568"/>
      <c r="H249" s="571"/>
      <c r="I249" s="566"/>
      <c r="N249" s="866"/>
      <c r="O249" s="866"/>
      <c r="P249" s="320"/>
      <c r="Q249" s="865"/>
      <c r="R249" s="865"/>
      <c r="S249" s="865"/>
    </row>
    <row r="250" spans="1:19" ht="12.75" customHeight="1">
      <c r="A250" s="572">
        <v>52687</v>
      </c>
      <c r="B250" s="568">
        <f>A250-A241</f>
        <v>91</v>
      </c>
      <c r="C250" s="568">
        <f>C249-D250</f>
        <v>0</v>
      </c>
      <c r="D250" s="282"/>
      <c r="E250" s="573">
        <f>$E$11+$E$12</f>
        <v>0.0641</v>
      </c>
      <c r="F250" s="570">
        <f>B250*C249*E250/I250</f>
        <v>0</v>
      </c>
      <c r="G250" s="568"/>
      <c r="H250" s="571"/>
      <c r="I250" s="566">
        <v>365</v>
      </c>
      <c r="N250" s="867" t="s">
        <v>146</v>
      </c>
      <c r="O250" s="867"/>
      <c r="P250" s="320"/>
      <c r="Q250" s="868" t="s">
        <v>147</v>
      </c>
      <c r="R250" s="868"/>
      <c r="S250" s="868"/>
    </row>
    <row r="251" spans="1:19" ht="12.75">
      <c r="A251" s="572">
        <v>52778</v>
      </c>
      <c r="B251" s="568">
        <f>A251-A250</f>
        <v>91</v>
      </c>
      <c r="C251" s="568">
        <f>C250-D251</f>
        <v>0</v>
      </c>
      <c r="D251" s="282"/>
      <c r="E251" s="573">
        <f>$E$11+$E$12</f>
        <v>0.0641</v>
      </c>
      <c r="F251" s="570">
        <f>B251*C250*E251/I251</f>
        <v>0</v>
      </c>
      <c r="G251" s="568"/>
      <c r="H251" s="571"/>
      <c r="I251" s="566">
        <v>365</v>
      </c>
      <c r="N251" s="319"/>
      <c r="O251" s="320"/>
      <c r="P251" s="320"/>
      <c r="Q251" s="320"/>
      <c r="R251" s="321"/>
      <c r="S251" s="322"/>
    </row>
    <row r="252" spans="1:9" ht="12.75">
      <c r="A252" s="572">
        <v>52870</v>
      </c>
      <c r="B252" s="568">
        <f>A252-A251</f>
        <v>92</v>
      </c>
      <c r="C252" s="568">
        <f>C251-D252</f>
        <v>0</v>
      </c>
      <c r="D252" s="282"/>
      <c r="E252" s="573">
        <f>$E$11+$E$12</f>
        <v>0.0641</v>
      </c>
      <c r="F252" s="570">
        <f>B252*C251*E252/I252</f>
        <v>0</v>
      </c>
      <c r="G252" s="568"/>
      <c r="H252" s="571"/>
      <c r="I252" s="566">
        <v>365</v>
      </c>
    </row>
    <row r="253" spans="1:9" ht="12.75">
      <c r="A253" s="572">
        <v>52962</v>
      </c>
      <c r="B253" s="568">
        <f>A253-A252</f>
        <v>92</v>
      </c>
      <c r="C253" s="568">
        <f>C252-D253</f>
        <v>0</v>
      </c>
      <c r="D253" s="282"/>
      <c r="E253" s="573">
        <f>$E$11+$E$12</f>
        <v>0.0641</v>
      </c>
      <c r="F253" s="570">
        <f>B253*C252*E253/I253</f>
        <v>0</v>
      </c>
      <c r="G253" s="568"/>
      <c r="H253" s="571"/>
      <c r="I253" s="566">
        <v>365</v>
      </c>
    </row>
    <row r="254" spans="1:9" ht="12.75">
      <c r="A254" s="574"/>
      <c r="B254" s="575"/>
      <c r="C254" s="575">
        <f>C253</f>
        <v>0</v>
      </c>
      <c r="D254" s="575">
        <f>SUM(D250:D253)</f>
        <v>0</v>
      </c>
      <c r="E254" s="576"/>
      <c r="F254" s="577">
        <f>SUM(F250:F253)</f>
        <v>0</v>
      </c>
      <c r="G254" s="575"/>
      <c r="H254" s="578"/>
      <c r="I254" s="566"/>
    </row>
    <row r="255" spans="1:9" ht="12.75">
      <c r="A255" s="579"/>
      <c r="B255" s="579"/>
      <c r="C255" s="579"/>
      <c r="D255" s="579"/>
      <c r="E255" s="579"/>
      <c r="F255" s="579"/>
      <c r="G255" s="579"/>
      <c r="H255" s="579"/>
      <c r="I255" s="579"/>
    </row>
    <row r="256" spans="1:9" ht="12.75">
      <c r="A256" s="579"/>
      <c r="B256" s="579"/>
      <c r="C256" s="579"/>
      <c r="D256" s="579"/>
      <c r="E256" s="579"/>
      <c r="F256" s="579"/>
      <c r="G256" s="579"/>
      <c r="H256" s="579"/>
      <c r="I256" s="579"/>
    </row>
    <row r="258" spans="1:9" ht="12.75">
      <c r="A258" s="864" t="s">
        <v>113</v>
      </c>
      <c r="B258" s="864"/>
      <c r="C258" s="864"/>
      <c r="D258" s="864"/>
      <c r="E258" s="864"/>
      <c r="F258" s="864"/>
      <c r="G258" s="864"/>
      <c r="H258" s="864"/>
      <c r="I258" s="256"/>
    </row>
    <row r="259" spans="1:9" ht="12.75">
      <c r="A259" s="271"/>
      <c r="B259" s="272"/>
      <c r="C259" s="272"/>
      <c r="D259" s="272"/>
      <c r="E259" s="273"/>
      <c r="F259" s="274"/>
      <c r="G259" s="272"/>
      <c r="H259" s="275"/>
      <c r="I259" s="256"/>
    </row>
    <row r="260" spans="1:9" ht="22.5">
      <c r="A260" s="561" t="s">
        <v>114</v>
      </c>
      <c r="B260" s="562" t="s">
        <v>115</v>
      </c>
      <c r="C260" s="562" t="s">
        <v>116</v>
      </c>
      <c r="D260" s="562" t="s">
        <v>117</v>
      </c>
      <c r="E260" s="563" t="s">
        <v>118</v>
      </c>
      <c r="F260" s="564" t="s">
        <v>48</v>
      </c>
      <c r="G260" s="562"/>
      <c r="H260" s="565"/>
      <c r="I260" s="566"/>
    </row>
    <row r="261" spans="1:9" ht="12.75">
      <c r="A261" s="567" t="s">
        <v>221</v>
      </c>
      <c r="B261" s="568"/>
      <c r="C261" s="568">
        <f>C254</f>
        <v>0</v>
      </c>
      <c r="D261" s="568"/>
      <c r="E261" s="569"/>
      <c r="F261" s="570"/>
      <c r="G261" s="568"/>
      <c r="H261" s="571"/>
      <c r="I261" s="566"/>
    </row>
    <row r="262" spans="1:9" ht="12.75">
      <c r="A262" s="572">
        <v>53052</v>
      </c>
      <c r="B262" s="568">
        <f>A262-A253</f>
        <v>90</v>
      </c>
      <c r="C262" s="568">
        <f>C261-D262</f>
        <v>0</v>
      </c>
      <c r="D262" s="282"/>
      <c r="E262" s="573">
        <f>$E$11+$E$12</f>
        <v>0.0641</v>
      </c>
      <c r="F262" s="570">
        <f>B262*C261*E262/I262</f>
        <v>0</v>
      </c>
      <c r="G262" s="568"/>
      <c r="H262" s="571"/>
      <c r="I262" s="566">
        <v>365</v>
      </c>
    </row>
    <row r="263" spans="1:9" ht="12.75">
      <c r="A263" s="572">
        <v>53143</v>
      </c>
      <c r="B263" s="568">
        <f>A263-A262</f>
        <v>91</v>
      </c>
      <c r="C263" s="568">
        <f>C262-D263</f>
        <v>0</v>
      </c>
      <c r="D263" s="282"/>
      <c r="E263" s="573">
        <f>$E$11+$E$12</f>
        <v>0.0641</v>
      </c>
      <c r="F263" s="570">
        <f>B263*C262*E263/I263</f>
        <v>0</v>
      </c>
      <c r="G263" s="568"/>
      <c r="H263" s="571"/>
      <c r="I263" s="566">
        <v>365</v>
      </c>
    </row>
    <row r="264" spans="1:9" ht="12.75">
      <c r="A264" s="572">
        <v>53235</v>
      </c>
      <c r="B264" s="568">
        <f>A264-A263</f>
        <v>92</v>
      </c>
      <c r="C264" s="568">
        <f>C263-D264</f>
        <v>0</v>
      </c>
      <c r="D264" s="282"/>
      <c r="E264" s="573">
        <f>$E$11+$E$12</f>
        <v>0.0641</v>
      </c>
      <c r="F264" s="570">
        <f>B264*C263*E264/I264</f>
        <v>0</v>
      </c>
      <c r="G264" s="568"/>
      <c r="H264" s="571"/>
      <c r="I264" s="566">
        <v>365</v>
      </c>
    </row>
    <row r="265" spans="1:9" ht="12.75">
      <c r="A265" s="572">
        <v>53327</v>
      </c>
      <c r="B265" s="568">
        <f>A265-A264</f>
        <v>92</v>
      </c>
      <c r="C265" s="568">
        <f>C264-D265</f>
        <v>0</v>
      </c>
      <c r="D265" s="282"/>
      <c r="E265" s="573">
        <f>$E$11+$E$12</f>
        <v>0.0641</v>
      </c>
      <c r="F265" s="570">
        <f>B265*C264*E265/I265</f>
        <v>0</v>
      </c>
      <c r="G265" s="568"/>
      <c r="H265" s="571"/>
      <c r="I265" s="566">
        <v>365</v>
      </c>
    </row>
    <row r="266" spans="1:9" ht="12.75">
      <c r="A266" s="574"/>
      <c r="B266" s="575"/>
      <c r="C266" s="575">
        <f>C265</f>
        <v>0</v>
      </c>
      <c r="D266" s="575">
        <f>SUM(D262:D265)</f>
        <v>0</v>
      </c>
      <c r="E266" s="576"/>
      <c r="F266" s="577">
        <f>SUM(F262:F265)</f>
        <v>0</v>
      </c>
      <c r="G266" s="575"/>
      <c r="H266" s="578"/>
      <c r="I266" s="566"/>
    </row>
    <row r="267" spans="1:9" ht="12.75">
      <c r="A267" s="579"/>
      <c r="B267" s="579"/>
      <c r="C267" s="579"/>
      <c r="D267" s="579"/>
      <c r="E267" s="579"/>
      <c r="F267" s="579"/>
      <c r="G267" s="579"/>
      <c r="H267" s="579"/>
      <c r="I267" s="579"/>
    </row>
    <row r="268" spans="1:9" ht="12.75">
      <c r="A268" s="579"/>
      <c r="B268" s="579"/>
      <c r="C268" s="579"/>
      <c r="D268" s="579"/>
      <c r="E268" s="579"/>
      <c r="F268" s="579"/>
      <c r="G268" s="579"/>
      <c r="H268" s="579"/>
      <c r="I268" s="579"/>
    </row>
  </sheetData>
  <sheetProtection selectLockedCells="1" selectUnlockedCells="1"/>
  <mergeCells count="39">
    <mergeCell ref="A1:B1"/>
    <mergeCell ref="A2:B2"/>
    <mergeCell ref="A3:B3"/>
    <mergeCell ref="A4:B4"/>
    <mergeCell ref="A6:B6"/>
    <mergeCell ref="A8:F8"/>
    <mergeCell ref="M14:O16"/>
    <mergeCell ref="A15:F15"/>
    <mergeCell ref="A16:F16"/>
    <mergeCell ref="A17:F17"/>
    <mergeCell ref="A18:F18"/>
    <mergeCell ref="A22:H22"/>
    <mergeCell ref="A32:H32"/>
    <mergeCell ref="A42:H42"/>
    <mergeCell ref="A52:H52"/>
    <mergeCell ref="A62:H62"/>
    <mergeCell ref="A72:H72"/>
    <mergeCell ref="A82:H82"/>
    <mergeCell ref="A92:H92"/>
    <mergeCell ref="A102:H102"/>
    <mergeCell ref="A112:H112"/>
    <mergeCell ref="A122:H122"/>
    <mergeCell ref="A132:H132"/>
    <mergeCell ref="A142:H142"/>
    <mergeCell ref="A152:H152"/>
    <mergeCell ref="A162:H162"/>
    <mergeCell ref="A172:H172"/>
    <mergeCell ref="A182:H182"/>
    <mergeCell ref="A192:H192"/>
    <mergeCell ref="A202:H202"/>
    <mergeCell ref="N250:O250"/>
    <mergeCell ref="Q250:S250"/>
    <mergeCell ref="A258:H258"/>
    <mergeCell ref="A212:H212"/>
    <mergeCell ref="A222:H222"/>
    <mergeCell ref="A234:H234"/>
    <mergeCell ref="A246:H246"/>
    <mergeCell ref="Q247:S249"/>
    <mergeCell ref="N249:O24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9"/>
  <sheetViews>
    <sheetView zoomScalePageLayoutView="0" workbookViewId="0" topLeftCell="A10">
      <selection activeCell="E11" sqref="E11"/>
    </sheetView>
  </sheetViews>
  <sheetFormatPr defaultColWidth="9.140625" defaultRowHeight="12.75" outlineLevelRow="1"/>
  <cols>
    <col min="2" max="2" width="15.00390625" style="0" customWidth="1"/>
    <col min="3" max="3" width="26.00390625" style="0" customWidth="1"/>
    <col min="4" max="4" width="13.57421875" style="0" customWidth="1"/>
    <col min="5" max="5" width="11.28125" style="0" customWidth="1"/>
    <col min="6" max="6" width="10.7109375" style="0" customWidth="1"/>
    <col min="14" max="14" width="14.8515625" style="0" customWidth="1"/>
    <col min="15" max="15" width="19.140625" style="0" customWidth="1"/>
    <col min="16" max="16" width="14.421875" style="0" customWidth="1"/>
  </cols>
  <sheetData>
    <row r="1" spans="1:10" ht="12.75" customHeight="1">
      <c r="A1" s="873" t="s">
        <v>98</v>
      </c>
      <c r="B1" s="873"/>
      <c r="C1" s="254"/>
      <c r="D1" s="254"/>
      <c r="E1" s="254"/>
      <c r="F1" s="254"/>
      <c r="G1" s="255"/>
      <c r="H1" s="255"/>
      <c r="I1" s="256"/>
      <c r="J1" s="256"/>
    </row>
    <row r="2" spans="1:10" ht="12.75">
      <c r="A2" s="874"/>
      <c r="B2" s="874"/>
      <c r="C2" s="254"/>
      <c r="D2" s="254"/>
      <c r="E2" s="254"/>
      <c r="F2" s="254"/>
      <c r="G2" s="255"/>
      <c r="H2" s="255"/>
      <c r="I2" s="256"/>
      <c r="J2" s="256"/>
    </row>
    <row r="3" spans="1:10" ht="12.75">
      <c r="A3" s="875"/>
      <c r="B3" s="875"/>
      <c r="C3" s="254"/>
      <c r="D3" s="254"/>
      <c r="E3" s="254"/>
      <c r="F3" s="254"/>
      <c r="G3" s="255"/>
      <c r="H3" s="255"/>
      <c r="I3" s="256"/>
      <c r="J3" s="256"/>
    </row>
    <row r="4" spans="1:10" ht="12.75" customHeight="1">
      <c r="A4" s="876" t="s">
        <v>99</v>
      </c>
      <c r="B4" s="876"/>
      <c r="C4" s="254"/>
      <c r="D4" s="254"/>
      <c r="E4" s="254"/>
      <c r="F4" s="254"/>
      <c r="G4" s="255"/>
      <c r="H4" s="255"/>
      <c r="I4" s="256"/>
      <c r="J4" s="256"/>
    </row>
    <row r="5" spans="1:10" ht="12.75">
      <c r="A5" s="254"/>
      <c r="B5" s="254"/>
      <c r="C5" s="254"/>
      <c r="D5" s="254"/>
      <c r="E5" s="254"/>
      <c r="F5" s="254"/>
      <c r="G5" s="255"/>
      <c r="H5" s="255"/>
      <c r="I5" s="256"/>
      <c r="J5" s="256"/>
    </row>
    <row r="6" spans="1:10" ht="12.75" customHeight="1">
      <c r="A6" s="877" t="s">
        <v>202</v>
      </c>
      <c r="B6" s="877"/>
      <c r="C6" s="254"/>
      <c r="D6" s="254"/>
      <c r="E6" s="254"/>
      <c r="F6" s="254"/>
      <c r="G6" s="255"/>
      <c r="H6" s="255"/>
      <c r="I6" s="256"/>
      <c r="J6" s="256"/>
    </row>
    <row r="7" spans="1:10" ht="12.75">
      <c r="A7" s="254"/>
      <c r="B7" s="254"/>
      <c r="C7" s="254"/>
      <c r="D7" s="254"/>
      <c r="E7" s="254"/>
      <c r="F7" s="254"/>
      <c r="G7" s="255"/>
      <c r="H7" s="255"/>
      <c r="I7" s="256"/>
      <c r="J7" s="256"/>
    </row>
    <row r="8" spans="1:10" ht="35.25" customHeight="1">
      <c r="A8" s="878" t="s">
        <v>203</v>
      </c>
      <c r="B8" s="878"/>
      <c r="C8" s="878"/>
      <c r="D8" s="878"/>
      <c r="E8" s="878"/>
      <c r="F8" s="878"/>
      <c r="G8" s="255"/>
      <c r="H8" s="255"/>
      <c r="I8" s="256"/>
      <c r="J8" s="256"/>
    </row>
    <row r="9" spans="1:10" ht="12.75">
      <c r="A9" s="256"/>
      <c r="B9" s="255"/>
      <c r="C9" s="255"/>
      <c r="D9" s="255"/>
      <c r="E9" s="257"/>
      <c r="F9" s="258"/>
      <c r="G9" s="255"/>
      <c r="H9" s="255"/>
      <c r="I9" s="256"/>
      <c r="J9" s="256"/>
    </row>
    <row r="10" spans="1:10" ht="12.75">
      <c r="A10" s="256"/>
      <c r="B10" s="255"/>
      <c r="C10" s="255"/>
      <c r="D10" s="255"/>
      <c r="E10" s="257"/>
      <c r="F10" s="258"/>
      <c r="G10" s="255"/>
      <c r="H10" s="255"/>
      <c r="I10" s="256"/>
      <c r="J10" s="256"/>
    </row>
    <row r="11" spans="1:10" ht="12.75">
      <c r="A11" s="256" t="s">
        <v>204</v>
      </c>
      <c r="B11" s="255"/>
      <c r="C11" s="255"/>
      <c r="D11" s="255"/>
      <c r="E11" s="560">
        <v>0.0589</v>
      </c>
      <c r="F11" s="258"/>
      <c r="G11" s="255"/>
      <c r="H11" s="255"/>
      <c r="I11" s="256"/>
      <c r="J11" s="256"/>
    </row>
    <row r="12" spans="1:10" ht="12.75">
      <c r="A12" s="256" t="s">
        <v>103</v>
      </c>
      <c r="B12" s="255"/>
      <c r="C12" s="255"/>
      <c r="D12" s="255"/>
      <c r="E12" s="260">
        <v>0.0075</v>
      </c>
      <c r="F12" s="258"/>
      <c r="G12" s="255"/>
      <c r="H12" s="255"/>
      <c r="I12" s="256"/>
      <c r="J12" s="256"/>
    </row>
    <row r="13" spans="1:10" ht="12.75">
      <c r="A13" s="256" t="s">
        <v>104</v>
      </c>
      <c r="B13" s="255"/>
      <c r="C13" s="255"/>
      <c r="D13" s="255"/>
      <c r="E13" s="261">
        <v>44896</v>
      </c>
      <c r="F13" s="258"/>
      <c r="G13" s="255"/>
      <c r="H13" s="255"/>
      <c r="I13" s="256"/>
      <c r="J13" s="256"/>
    </row>
    <row r="14" spans="1:15" ht="12.75">
      <c r="A14" s="256"/>
      <c r="B14" s="255"/>
      <c r="C14" s="255"/>
      <c r="D14" s="255"/>
      <c r="E14" s="262"/>
      <c r="F14" s="258"/>
      <c r="G14" s="255"/>
      <c r="H14" s="255"/>
      <c r="I14" s="256"/>
      <c r="J14" s="256"/>
      <c r="M14" s="869" t="s">
        <v>219</v>
      </c>
      <c r="N14" s="869"/>
      <c r="O14" s="869"/>
    </row>
    <row r="15" spans="1:15" ht="12.75">
      <c r="A15" s="870" t="s">
        <v>106</v>
      </c>
      <c r="B15" s="870"/>
      <c r="C15" s="870"/>
      <c r="D15" s="870"/>
      <c r="E15" s="870"/>
      <c r="F15" s="870"/>
      <c r="G15" s="255"/>
      <c r="H15" s="255"/>
      <c r="I15" s="256"/>
      <c r="J15" s="256"/>
      <c r="M15" s="869"/>
      <c r="N15" s="869"/>
      <c r="O15" s="869"/>
    </row>
    <row r="16" spans="1:15" ht="13.5" customHeight="1">
      <c r="A16" s="871" t="s">
        <v>107</v>
      </c>
      <c r="B16" s="871"/>
      <c r="C16" s="871"/>
      <c r="D16" s="871"/>
      <c r="E16" s="871"/>
      <c r="F16" s="871"/>
      <c r="G16" s="255"/>
      <c r="H16" s="255"/>
      <c r="I16" s="256"/>
      <c r="J16" s="256"/>
      <c r="M16" s="869"/>
      <c r="N16" s="869"/>
      <c r="O16" s="869"/>
    </row>
    <row r="17" spans="1:15" ht="30" customHeight="1">
      <c r="A17" s="871" t="s">
        <v>108</v>
      </c>
      <c r="B17" s="871"/>
      <c r="C17" s="871"/>
      <c r="D17" s="871"/>
      <c r="E17" s="871"/>
      <c r="F17" s="871"/>
      <c r="G17" s="255"/>
      <c r="H17" s="255"/>
      <c r="I17" s="256"/>
      <c r="J17" s="256"/>
      <c r="M17" s="477" t="s">
        <v>109</v>
      </c>
      <c r="N17" s="478" t="s">
        <v>205</v>
      </c>
      <c r="O17" s="478" t="s">
        <v>206</v>
      </c>
    </row>
    <row r="18" spans="1:15" ht="12.75" customHeight="1">
      <c r="A18" s="872" t="s">
        <v>112</v>
      </c>
      <c r="B18" s="872"/>
      <c r="C18" s="872"/>
      <c r="D18" s="872"/>
      <c r="E18" s="872"/>
      <c r="F18" s="872"/>
      <c r="G18" s="255"/>
      <c r="H18" s="255"/>
      <c r="I18" s="256"/>
      <c r="J18" s="256"/>
      <c r="M18" s="265">
        <v>2022</v>
      </c>
      <c r="N18" s="266">
        <f>F30</f>
        <v>0</v>
      </c>
      <c r="O18" s="266">
        <f>D30</f>
        <v>0</v>
      </c>
    </row>
    <row r="19" spans="1:15" ht="12.75">
      <c r="A19" s="267"/>
      <c r="B19" s="268"/>
      <c r="C19" s="268"/>
      <c r="D19" s="268"/>
      <c r="E19" s="269"/>
      <c r="F19" s="270"/>
      <c r="G19" s="255"/>
      <c r="H19" s="255"/>
      <c r="I19" s="256"/>
      <c r="J19" s="256"/>
      <c r="M19" s="265">
        <v>2023</v>
      </c>
      <c r="N19" s="266">
        <f>F40</f>
        <v>0</v>
      </c>
      <c r="O19" s="266">
        <f>D40</f>
        <v>0</v>
      </c>
    </row>
    <row r="20" spans="1:15" ht="12.75">
      <c r="A20" s="256"/>
      <c r="B20" s="255"/>
      <c r="C20" s="255"/>
      <c r="D20" s="255"/>
      <c r="E20" s="257"/>
      <c r="F20" s="258"/>
      <c r="G20" s="255"/>
      <c r="H20" s="255"/>
      <c r="I20" s="256"/>
      <c r="J20" s="256"/>
      <c r="M20" s="265">
        <v>2024</v>
      </c>
      <c r="N20" s="266">
        <f>F50</f>
        <v>108104.65753424657</v>
      </c>
      <c r="O20" s="266">
        <f>D50</f>
        <v>1000000</v>
      </c>
    </row>
    <row r="21" spans="1:15" ht="12.75">
      <c r="A21" s="291"/>
      <c r="B21" s="282"/>
      <c r="C21" s="282"/>
      <c r="D21" s="282"/>
      <c r="E21" s="284"/>
      <c r="F21" s="285"/>
      <c r="G21" s="282"/>
      <c r="H21" s="286"/>
      <c r="I21" s="256"/>
      <c r="J21" s="256"/>
      <c r="M21" s="265">
        <v>2025</v>
      </c>
      <c r="N21" s="266">
        <f>F60</f>
        <v>41340.82191780822</v>
      </c>
      <c r="O21" s="266">
        <f>D60</f>
        <v>1000000</v>
      </c>
    </row>
    <row r="22" spans="1:15" ht="12.75" outlineLevel="1">
      <c r="A22" s="864" t="s">
        <v>113</v>
      </c>
      <c r="B22" s="864"/>
      <c r="C22" s="864"/>
      <c r="D22" s="864"/>
      <c r="E22" s="864"/>
      <c r="F22" s="864"/>
      <c r="G22" s="864"/>
      <c r="H22" s="864"/>
      <c r="I22" s="256"/>
      <c r="J22" s="256"/>
      <c r="M22" s="265">
        <v>2026</v>
      </c>
      <c r="N22" s="266">
        <f>F70</f>
        <v>0</v>
      </c>
      <c r="O22" s="266">
        <f>D70</f>
        <v>0</v>
      </c>
    </row>
    <row r="23" spans="1:15" ht="12.75" outlineLevel="1">
      <c r="A23" s="271"/>
      <c r="B23" s="272"/>
      <c r="C23" s="272"/>
      <c r="D23" s="272"/>
      <c r="E23" s="273"/>
      <c r="F23" s="274"/>
      <c r="G23" s="272"/>
      <c r="H23" s="275"/>
      <c r="I23" s="256"/>
      <c r="J23" s="256"/>
      <c r="M23" s="265">
        <v>2027</v>
      </c>
      <c r="N23" s="266">
        <f>F80</f>
        <v>0</v>
      </c>
      <c r="O23" s="266">
        <f>D80</f>
        <v>0</v>
      </c>
    </row>
    <row r="24" spans="1:15" ht="22.5" outlineLevel="1">
      <c r="A24" s="276" t="s">
        <v>114</v>
      </c>
      <c r="B24" s="277" t="s">
        <v>115</v>
      </c>
      <c r="C24" s="277" t="s">
        <v>116</v>
      </c>
      <c r="D24" s="277" t="s">
        <v>117</v>
      </c>
      <c r="E24" s="278" t="s">
        <v>118</v>
      </c>
      <c r="F24" s="279" t="s">
        <v>48</v>
      </c>
      <c r="G24" s="277"/>
      <c r="H24" s="280"/>
      <c r="I24" s="256"/>
      <c r="J24" s="256"/>
      <c r="M24" s="265">
        <v>2028</v>
      </c>
      <c r="N24" s="266">
        <f>F90</f>
        <v>0</v>
      </c>
      <c r="O24" s="266">
        <f>D90</f>
        <v>0</v>
      </c>
    </row>
    <row r="25" spans="1:15" ht="12.75" outlineLevel="1">
      <c r="A25" s="281" t="s">
        <v>121</v>
      </c>
      <c r="B25" s="282"/>
      <c r="C25" s="282"/>
      <c r="D25" s="282"/>
      <c r="E25" s="284"/>
      <c r="F25" s="285"/>
      <c r="G25" s="282"/>
      <c r="H25" s="286"/>
      <c r="I25" s="256"/>
      <c r="J25" s="256"/>
      <c r="M25" s="265">
        <v>2029</v>
      </c>
      <c r="N25" s="266">
        <f>F100</f>
        <v>0</v>
      </c>
      <c r="O25" s="266">
        <f>D100</f>
        <v>0</v>
      </c>
    </row>
    <row r="26" spans="1:15" ht="12.75" outlineLevel="1">
      <c r="A26" s="307">
        <v>44651</v>
      </c>
      <c r="B26" s="282"/>
      <c r="C26" s="282"/>
      <c r="D26" s="282"/>
      <c r="E26" s="308">
        <f>$E$11+$E$12</f>
        <v>0.0664</v>
      </c>
      <c r="F26" s="285"/>
      <c r="G26" s="282"/>
      <c r="H26" s="286"/>
      <c r="I26" s="256">
        <v>365</v>
      </c>
      <c r="J26" s="256"/>
      <c r="M26" s="265">
        <v>2030</v>
      </c>
      <c r="N26" s="266">
        <f>F110</f>
        <v>0</v>
      </c>
      <c r="O26" s="266">
        <f>D110</f>
        <v>0</v>
      </c>
    </row>
    <row r="27" spans="1:15" ht="12.75" outlineLevel="1">
      <c r="A27" s="307">
        <v>44742</v>
      </c>
      <c r="B27" s="282">
        <v>30</v>
      </c>
      <c r="C27" s="282"/>
      <c r="D27" s="282">
        <v>0</v>
      </c>
      <c r="E27" s="308">
        <f>$E$11+$E$12</f>
        <v>0.0664</v>
      </c>
      <c r="F27" s="285">
        <f>B27*C26*E27/I27</f>
        <v>0</v>
      </c>
      <c r="G27" s="282"/>
      <c r="H27" s="286"/>
      <c r="I27" s="256">
        <v>365</v>
      </c>
      <c r="J27" s="256"/>
      <c r="M27" s="265">
        <v>2031</v>
      </c>
      <c r="N27" s="266">
        <f>F120</f>
        <v>0</v>
      </c>
      <c r="O27" s="266">
        <f>D120</f>
        <v>0</v>
      </c>
    </row>
    <row r="28" spans="1:15" ht="12.75" outlineLevel="1">
      <c r="A28" s="307">
        <v>44834</v>
      </c>
      <c r="B28" s="282">
        <f>A28-A27</f>
        <v>92</v>
      </c>
      <c r="C28" s="282"/>
      <c r="D28" s="282"/>
      <c r="E28" s="308">
        <f>$E$11+$E$12</f>
        <v>0.0664</v>
      </c>
      <c r="F28" s="285">
        <f>B28*C27*E28/I28</f>
        <v>0</v>
      </c>
      <c r="G28" s="282"/>
      <c r="H28" s="286"/>
      <c r="I28" s="256">
        <v>365</v>
      </c>
      <c r="J28" s="256"/>
      <c r="M28" s="265">
        <v>2032</v>
      </c>
      <c r="N28" s="266">
        <f>F130</f>
        <v>0</v>
      </c>
      <c r="O28" s="266">
        <f>D130</f>
        <v>0</v>
      </c>
    </row>
    <row r="29" spans="1:15" ht="12.75" outlineLevel="1">
      <c r="A29" s="307">
        <v>44926</v>
      </c>
      <c r="B29" s="282">
        <f>A29-A28</f>
        <v>92</v>
      </c>
      <c r="C29" s="282"/>
      <c r="D29" s="282"/>
      <c r="E29" s="308">
        <f>$E$11+$E$12</f>
        <v>0.0664</v>
      </c>
      <c r="F29" s="285">
        <f>B29*C28*E29/I29</f>
        <v>0</v>
      </c>
      <c r="G29" s="282"/>
      <c r="H29" s="286"/>
      <c r="I29" s="256">
        <v>365</v>
      </c>
      <c r="J29" s="256"/>
      <c r="M29" s="265">
        <v>2033</v>
      </c>
      <c r="N29" s="266">
        <f>F140</f>
        <v>0</v>
      </c>
      <c r="O29" s="266">
        <f>D140</f>
        <v>0</v>
      </c>
    </row>
    <row r="30" spans="1:15" ht="12.75" outlineLevel="1">
      <c r="A30" s="309"/>
      <c r="B30" s="288"/>
      <c r="C30" s="288">
        <f>C29</f>
        <v>0</v>
      </c>
      <c r="D30" s="288">
        <f>SUM(D26:D29)</f>
        <v>0</v>
      </c>
      <c r="E30" s="289"/>
      <c r="F30" s="274">
        <f>SUM(F27:F29)</f>
        <v>0</v>
      </c>
      <c r="G30" s="288"/>
      <c r="H30" s="290"/>
      <c r="I30" s="256"/>
      <c r="J30" s="256"/>
      <c r="M30" s="265">
        <v>2034</v>
      </c>
      <c r="N30" s="266">
        <f>F150</f>
        <v>0</v>
      </c>
      <c r="O30" s="266">
        <f>D150</f>
        <v>0</v>
      </c>
    </row>
    <row r="31" spans="1:15" ht="12.75" outlineLevel="1">
      <c r="A31" s="291"/>
      <c r="B31" s="282"/>
      <c r="C31" s="282"/>
      <c r="D31" s="282"/>
      <c r="E31" s="284"/>
      <c r="F31" s="285"/>
      <c r="G31" s="282"/>
      <c r="H31" s="286"/>
      <c r="I31" s="256"/>
      <c r="J31" s="256"/>
      <c r="M31" s="265">
        <v>2035</v>
      </c>
      <c r="N31" s="266">
        <f>F160</f>
        <v>0</v>
      </c>
      <c r="O31" s="266">
        <f>D160</f>
        <v>0</v>
      </c>
    </row>
    <row r="32" spans="1:15" ht="12.75" outlineLevel="1">
      <c r="A32" s="864" t="s">
        <v>113</v>
      </c>
      <c r="B32" s="864"/>
      <c r="C32" s="864"/>
      <c r="D32" s="864"/>
      <c r="E32" s="864"/>
      <c r="F32" s="864"/>
      <c r="G32" s="864"/>
      <c r="H32" s="864"/>
      <c r="I32" s="256"/>
      <c r="J32" s="256"/>
      <c r="M32" s="265">
        <v>2036</v>
      </c>
      <c r="N32" s="266">
        <f>F170</f>
        <v>0</v>
      </c>
      <c r="O32" s="266">
        <f>D170</f>
        <v>0</v>
      </c>
    </row>
    <row r="33" spans="1:15" ht="12.75" outlineLevel="1">
      <c r="A33" s="271"/>
      <c r="B33" s="272"/>
      <c r="C33" s="272"/>
      <c r="D33" s="272"/>
      <c r="E33" s="273"/>
      <c r="F33" s="274"/>
      <c r="G33" s="272"/>
      <c r="H33" s="275"/>
      <c r="I33" s="256"/>
      <c r="J33" s="256"/>
      <c r="M33" s="265">
        <v>2037</v>
      </c>
      <c r="N33" s="266">
        <f>F180</f>
        <v>0</v>
      </c>
      <c r="O33" s="266">
        <f>D180</f>
        <v>0</v>
      </c>
    </row>
    <row r="34" spans="1:15" ht="22.5" outlineLevel="1">
      <c r="A34" s="276" t="s">
        <v>114</v>
      </c>
      <c r="B34" s="277" t="s">
        <v>115</v>
      </c>
      <c r="C34" s="277" t="s">
        <v>116</v>
      </c>
      <c r="D34" s="277" t="s">
        <v>117</v>
      </c>
      <c r="E34" s="278" t="s">
        <v>118</v>
      </c>
      <c r="F34" s="279" t="s">
        <v>48</v>
      </c>
      <c r="G34" s="277"/>
      <c r="H34" s="280"/>
      <c r="I34" s="256"/>
      <c r="J34" s="256"/>
      <c r="M34" s="265">
        <v>2038</v>
      </c>
      <c r="N34" s="266">
        <f>F190</f>
        <v>0</v>
      </c>
      <c r="O34" s="266">
        <f>D190</f>
        <v>0</v>
      </c>
    </row>
    <row r="35" spans="1:15" ht="12.75" outlineLevel="1">
      <c r="A35" s="281" t="s">
        <v>122</v>
      </c>
      <c r="B35" s="282"/>
      <c r="C35" s="282">
        <f>C30</f>
        <v>0</v>
      </c>
      <c r="D35" s="282"/>
      <c r="E35" s="284"/>
      <c r="F35" s="285"/>
      <c r="G35" s="282"/>
      <c r="H35" s="286"/>
      <c r="I35" s="256"/>
      <c r="J35" s="256"/>
      <c r="M35" s="265">
        <v>2039</v>
      </c>
      <c r="N35" s="266">
        <f>F200</f>
        <v>0</v>
      </c>
      <c r="O35" s="266">
        <f>D200</f>
        <v>0</v>
      </c>
    </row>
    <row r="36" spans="1:15" ht="12.75" outlineLevel="1">
      <c r="A36" s="307">
        <v>45016</v>
      </c>
      <c r="B36" s="282">
        <f>A36-A29</f>
        <v>90</v>
      </c>
      <c r="C36" s="282">
        <f>C35-D36</f>
        <v>0</v>
      </c>
      <c r="D36" s="282"/>
      <c r="E36" s="308">
        <f>$E$11+$E$12</f>
        <v>0.0664</v>
      </c>
      <c r="F36" s="285">
        <f>B36*C35*E36/I36</f>
        <v>0</v>
      </c>
      <c r="G36" s="282"/>
      <c r="H36" s="286"/>
      <c r="I36" s="256">
        <v>365</v>
      </c>
      <c r="J36" s="256"/>
      <c r="M36" s="265">
        <v>2040</v>
      </c>
      <c r="N36" s="266">
        <f>F210</f>
        <v>0</v>
      </c>
      <c r="O36" s="266">
        <f>D210</f>
        <v>0</v>
      </c>
    </row>
    <row r="37" spans="1:15" ht="12.75" outlineLevel="1">
      <c r="A37" s="307">
        <v>45107</v>
      </c>
      <c r="B37" s="282">
        <f>A37-A36</f>
        <v>91</v>
      </c>
      <c r="C37" s="282">
        <f>C36-D37</f>
        <v>0</v>
      </c>
      <c r="D37" s="282"/>
      <c r="E37" s="308">
        <f>$E$11+$E$12</f>
        <v>0.0664</v>
      </c>
      <c r="F37" s="285">
        <f>B37*C36*E37/I37</f>
        <v>0</v>
      </c>
      <c r="G37" s="282"/>
      <c r="H37" s="286"/>
      <c r="I37" s="256">
        <v>365</v>
      </c>
      <c r="J37" s="256"/>
      <c r="M37" s="265">
        <v>2041</v>
      </c>
      <c r="N37" s="266">
        <f>F220</f>
        <v>0</v>
      </c>
      <c r="O37" s="266">
        <f>D220</f>
        <v>0</v>
      </c>
    </row>
    <row r="38" spans="1:15" ht="12.75" outlineLevel="1">
      <c r="A38" s="307">
        <v>45199</v>
      </c>
      <c r="B38" s="282">
        <f>A38-A37</f>
        <v>92</v>
      </c>
      <c r="C38" s="282">
        <f>C37-D38</f>
        <v>0</v>
      </c>
      <c r="D38" s="282"/>
      <c r="E38" s="308">
        <f>$E$11+$E$12</f>
        <v>0.0664</v>
      </c>
      <c r="F38" s="285">
        <f>B38*C37*E38/I38</f>
        <v>0</v>
      </c>
      <c r="G38" s="282"/>
      <c r="H38" s="286"/>
      <c r="I38" s="256">
        <v>365</v>
      </c>
      <c r="J38" s="256"/>
      <c r="M38" s="265">
        <v>2042</v>
      </c>
      <c r="N38" s="266">
        <f>F230</f>
        <v>0</v>
      </c>
      <c r="O38" s="266">
        <f>D230</f>
        <v>0</v>
      </c>
    </row>
    <row r="39" spans="1:15" ht="12.75" outlineLevel="1">
      <c r="A39" s="307">
        <v>45291</v>
      </c>
      <c r="B39" s="282">
        <f>A39-A38</f>
        <v>92</v>
      </c>
      <c r="C39" s="282">
        <v>2000000</v>
      </c>
      <c r="D39" s="282"/>
      <c r="E39" s="308">
        <f>$E$11+$E$12</f>
        <v>0.0664</v>
      </c>
      <c r="F39" s="285">
        <f>B39*C38*E39/I39</f>
        <v>0</v>
      </c>
      <c r="G39" s="282"/>
      <c r="H39" s="286"/>
      <c r="I39" s="256">
        <v>365</v>
      </c>
      <c r="J39" s="256"/>
      <c r="M39" s="265">
        <v>2043</v>
      </c>
      <c r="N39" s="266">
        <f>F240</f>
        <v>0</v>
      </c>
      <c r="O39" s="266">
        <f>D240</f>
        <v>0</v>
      </c>
    </row>
    <row r="40" spans="1:15" ht="12.75" outlineLevel="1">
      <c r="A40" s="309"/>
      <c r="B40" s="288"/>
      <c r="C40" s="288">
        <f>C39</f>
        <v>2000000</v>
      </c>
      <c r="D40" s="288">
        <f>SUM(D36:D39)</f>
        <v>0</v>
      </c>
      <c r="E40" s="289"/>
      <c r="F40" s="274">
        <f>SUM(F36:F39)</f>
        <v>0</v>
      </c>
      <c r="G40" s="288"/>
      <c r="H40" s="290"/>
      <c r="I40" s="256"/>
      <c r="J40" s="256"/>
      <c r="M40" s="265" t="s">
        <v>42</v>
      </c>
      <c r="N40" s="306">
        <f>SUM(N18:N39)</f>
        <v>149445.47945205477</v>
      </c>
      <c r="O40" s="306">
        <f>SUM(O18:O39)</f>
        <v>2000000</v>
      </c>
    </row>
    <row r="41" spans="1:10" ht="12.75" outlineLevel="1">
      <c r="A41" s="291"/>
      <c r="B41" s="282"/>
      <c r="C41" s="282"/>
      <c r="D41" s="282"/>
      <c r="E41" s="284"/>
      <c r="F41" s="285"/>
      <c r="G41" s="282"/>
      <c r="H41" s="286"/>
      <c r="I41" s="256"/>
      <c r="J41" s="256"/>
    </row>
    <row r="42" spans="1:10" ht="12.75" outlineLevel="1">
      <c r="A42" s="864" t="s">
        <v>113</v>
      </c>
      <c r="B42" s="864"/>
      <c r="C42" s="864"/>
      <c r="D42" s="864"/>
      <c r="E42" s="864"/>
      <c r="F42" s="864"/>
      <c r="G42" s="864"/>
      <c r="H42" s="864"/>
      <c r="I42" s="256"/>
      <c r="J42" s="256"/>
    </row>
    <row r="43" spans="1:10" ht="12.75" outlineLevel="1">
      <c r="A43" s="271"/>
      <c r="B43" s="272"/>
      <c r="C43" s="272"/>
      <c r="D43" s="272"/>
      <c r="E43" s="273"/>
      <c r="F43" s="274"/>
      <c r="G43" s="272"/>
      <c r="H43" s="275"/>
      <c r="I43" s="256"/>
      <c r="J43" s="256"/>
    </row>
    <row r="44" spans="1:10" ht="22.5" outlineLevel="1">
      <c r="A44" s="276" t="s">
        <v>114</v>
      </c>
      <c r="B44" s="277" t="s">
        <v>115</v>
      </c>
      <c r="C44" s="277" t="s">
        <v>116</v>
      </c>
      <c r="D44" s="277" t="s">
        <v>117</v>
      </c>
      <c r="E44" s="278" t="s">
        <v>118</v>
      </c>
      <c r="F44" s="279" t="s">
        <v>48</v>
      </c>
      <c r="G44" s="277"/>
      <c r="H44" s="280"/>
      <c r="I44" s="256"/>
      <c r="J44" s="256"/>
    </row>
    <row r="45" spans="1:10" ht="12.75" outlineLevel="1">
      <c r="A45" s="281" t="s">
        <v>123</v>
      </c>
      <c r="B45" s="282"/>
      <c r="C45" s="282">
        <f>C40</f>
        <v>2000000</v>
      </c>
      <c r="D45" s="282"/>
      <c r="E45" s="284"/>
      <c r="F45" s="285"/>
      <c r="G45" s="282"/>
      <c r="H45" s="286"/>
      <c r="I45" s="256"/>
      <c r="J45" s="256"/>
    </row>
    <row r="46" spans="1:10" ht="12.75" outlineLevel="1">
      <c r="A46" s="307">
        <v>45382</v>
      </c>
      <c r="B46" s="282">
        <f>A46-A39</f>
        <v>91</v>
      </c>
      <c r="C46" s="282">
        <f>C45-D46</f>
        <v>1750000</v>
      </c>
      <c r="D46" s="282">
        <v>250000</v>
      </c>
      <c r="E46" s="308">
        <f>$E$11+$E$12</f>
        <v>0.0664</v>
      </c>
      <c r="F46" s="285">
        <f>B46*C45*E46/I46</f>
        <v>33109.04109589041</v>
      </c>
      <c r="G46" s="282"/>
      <c r="H46" s="286"/>
      <c r="I46" s="256">
        <v>365</v>
      </c>
      <c r="J46" s="256"/>
    </row>
    <row r="47" spans="1:10" ht="12.75" outlineLevel="1">
      <c r="A47" s="307">
        <v>45473</v>
      </c>
      <c r="B47" s="282">
        <f>A47-A46</f>
        <v>91</v>
      </c>
      <c r="C47" s="282">
        <f>C46-D47</f>
        <v>1500000</v>
      </c>
      <c r="D47" s="282">
        <v>250000</v>
      </c>
      <c r="E47" s="308">
        <f>$E$11+$E$12</f>
        <v>0.0664</v>
      </c>
      <c r="F47" s="285">
        <f>B47*C46*E47/I47</f>
        <v>28970.41095890411</v>
      </c>
      <c r="G47" s="282"/>
      <c r="H47" s="286"/>
      <c r="I47" s="256">
        <v>365</v>
      </c>
      <c r="J47" s="256"/>
    </row>
    <row r="48" spans="1:10" ht="12.75" outlineLevel="1">
      <c r="A48" s="307">
        <v>45565</v>
      </c>
      <c r="B48" s="282">
        <f>A48-A47</f>
        <v>92</v>
      </c>
      <c r="C48" s="282">
        <f>C47-D48</f>
        <v>1250000</v>
      </c>
      <c r="D48" s="282">
        <v>250000</v>
      </c>
      <c r="E48" s="308">
        <f>$E$11+$E$12</f>
        <v>0.0664</v>
      </c>
      <c r="F48" s="285">
        <f>B48*C47*E48/I48</f>
        <v>25104.657534246577</v>
      </c>
      <c r="G48" s="282"/>
      <c r="H48" s="286"/>
      <c r="I48" s="256">
        <v>365</v>
      </c>
      <c r="J48" s="256"/>
    </row>
    <row r="49" spans="1:10" ht="12.75" outlineLevel="1">
      <c r="A49" s="307">
        <v>45657</v>
      </c>
      <c r="B49" s="282">
        <f>A49-A48</f>
        <v>92</v>
      </c>
      <c r="C49" s="282">
        <f>C48-D49</f>
        <v>1000000</v>
      </c>
      <c r="D49" s="282">
        <v>250000</v>
      </c>
      <c r="E49" s="308">
        <f>$E$11+$E$12</f>
        <v>0.0664</v>
      </c>
      <c r="F49" s="285">
        <f>B49*C48*E49/I49</f>
        <v>20920.54794520548</v>
      </c>
      <c r="G49" s="282"/>
      <c r="H49" s="286"/>
      <c r="I49" s="256">
        <v>365</v>
      </c>
      <c r="J49" s="256"/>
    </row>
    <row r="50" spans="1:10" ht="12.75" outlineLevel="1">
      <c r="A50" s="309"/>
      <c r="B50" s="288"/>
      <c r="C50" s="288">
        <f>C49</f>
        <v>1000000</v>
      </c>
      <c r="D50" s="288">
        <f>SUM(D46:D49)</f>
        <v>1000000</v>
      </c>
      <c r="E50" s="289"/>
      <c r="F50" s="274">
        <f>SUM(F46:F49)</f>
        <v>108104.65753424657</v>
      </c>
      <c r="G50" s="288"/>
      <c r="H50" s="290"/>
      <c r="I50" s="256"/>
      <c r="J50" s="256"/>
    </row>
    <row r="51" spans="1:10" ht="12.75" outlineLevel="1">
      <c r="A51" s="291"/>
      <c r="B51" s="282"/>
      <c r="C51" s="282"/>
      <c r="D51" s="282"/>
      <c r="E51" s="284"/>
      <c r="F51" s="285"/>
      <c r="G51" s="282"/>
      <c r="H51" s="282"/>
      <c r="I51" s="256"/>
      <c r="J51" s="256"/>
    </row>
    <row r="52" spans="1:10" ht="12.75" outlineLevel="1">
      <c r="A52" s="864" t="s">
        <v>113</v>
      </c>
      <c r="B52" s="864"/>
      <c r="C52" s="864"/>
      <c r="D52" s="864"/>
      <c r="E52" s="864"/>
      <c r="F52" s="864"/>
      <c r="G52" s="864"/>
      <c r="H52" s="864"/>
      <c r="I52" s="256"/>
      <c r="J52" s="256"/>
    </row>
    <row r="53" spans="1:10" ht="12.75" outlineLevel="1">
      <c r="A53" s="271"/>
      <c r="B53" s="272"/>
      <c r="C53" s="272"/>
      <c r="D53" s="272"/>
      <c r="E53" s="273"/>
      <c r="F53" s="274"/>
      <c r="G53" s="272"/>
      <c r="H53" s="275"/>
      <c r="I53" s="256"/>
      <c r="J53" s="256"/>
    </row>
    <row r="54" spans="1:10" ht="22.5" outlineLevel="1">
      <c r="A54" s="276" t="s">
        <v>114</v>
      </c>
      <c r="B54" s="277" t="s">
        <v>115</v>
      </c>
      <c r="C54" s="277" t="s">
        <v>116</v>
      </c>
      <c r="D54" s="277" t="s">
        <v>117</v>
      </c>
      <c r="E54" s="278" t="s">
        <v>118</v>
      </c>
      <c r="F54" s="279" t="s">
        <v>48</v>
      </c>
      <c r="G54" s="277"/>
      <c r="H54" s="280"/>
      <c r="I54" s="256"/>
      <c r="J54" s="256"/>
    </row>
    <row r="55" spans="1:10" ht="12.75" outlineLevel="1">
      <c r="A55" s="281" t="s">
        <v>207</v>
      </c>
      <c r="B55" s="282"/>
      <c r="C55" s="282">
        <f>C50</f>
        <v>1000000</v>
      </c>
      <c r="D55" s="282"/>
      <c r="E55" s="284"/>
      <c r="F55" s="285"/>
      <c r="G55" s="282"/>
      <c r="H55" s="286"/>
      <c r="I55" s="256"/>
      <c r="J55" s="256"/>
    </row>
    <row r="56" spans="1:10" ht="12.75" outlineLevel="1">
      <c r="A56" s="307">
        <v>45747</v>
      </c>
      <c r="B56" s="282">
        <v>90</v>
      </c>
      <c r="C56" s="282">
        <f>C55-D56</f>
        <v>750000</v>
      </c>
      <c r="D56" s="282">
        <v>250000</v>
      </c>
      <c r="E56" s="308">
        <f>$E$11+$E$12</f>
        <v>0.0664</v>
      </c>
      <c r="F56" s="285">
        <f>B56*C55*E56/I56</f>
        <v>16372.602739726028</v>
      </c>
      <c r="G56" s="282"/>
      <c r="H56" s="286"/>
      <c r="I56" s="256">
        <v>365</v>
      </c>
      <c r="J56" s="256"/>
    </row>
    <row r="57" spans="1:10" ht="12.75" outlineLevel="1">
      <c r="A57" s="307">
        <v>45838</v>
      </c>
      <c r="B57" s="282">
        <f>A57-A56</f>
        <v>91</v>
      </c>
      <c r="C57" s="282">
        <f>C56-D57</f>
        <v>500000</v>
      </c>
      <c r="D57" s="282">
        <v>250000</v>
      </c>
      <c r="E57" s="308">
        <f>$E$11+$E$12</f>
        <v>0.0664</v>
      </c>
      <c r="F57" s="285">
        <f>B57*C56*E57/I57</f>
        <v>12415.890410958904</v>
      </c>
      <c r="G57" s="282"/>
      <c r="H57" s="286"/>
      <c r="I57" s="256">
        <v>365</v>
      </c>
      <c r="J57" s="256"/>
    </row>
    <row r="58" spans="1:10" ht="12.75" outlineLevel="1">
      <c r="A58" s="307">
        <v>45930</v>
      </c>
      <c r="B58" s="282">
        <f>A58-A57</f>
        <v>92</v>
      </c>
      <c r="C58" s="282">
        <f>C57-D58</f>
        <v>250000</v>
      </c>
      <c r="D58" s="282">
        <v>250000</v>
      </c>
      <c r="E58" s="308">
        <f>$E$11+$E$12</f>
        <v>0.0664</v>
      </c>
      <c r="F58" s="285">
        <f>B58*C57*E58/I58</f>
        <v>8368.219178082192</v>
      </c>
      <c r="G58" s="282"/>
      <c r="H58" s="286"/>
      <c r="I58" s="256">
        <v>365</v>
      </c>
      <c r="J58" s="256"/>
    </row>
    <row r="59" spans="1:10" ht="12.75" outlineLevel="1">
      <c r="A59" s="307">
        <v>46022</v>
      </c>
      <c r="B59" s="282">
        <f>A59-A58</f>
        <v>92</v>
      </c>
      <c r="C59" s="282">
        <f>C58-D59</f>
        <v>0</v>
      </c>
      <c r="D59" s="282">
        <v>250000</v>
      </c>
      <c r="E59" s="308">
        <f>$E$11+$E$12</f>
        <v>0.0664</v>
      </c>
      <c r="F59" s="285">
        <f>B59*C58*E59/I59</f>
        <v>4184.109589041096</v>
      </c>
      <c r="G59" s="282"/>
      <c r="H59" s="286"/>
      <c r="I59" s="256">
        <v>365</v>
      </c>
      <c r="J59" s="256"/>
    </row>
    <row r="60" spans="1:10" ht="12.75" outlineLevel="1">
      <c r="A60" s="309"/>
      <c r="B60" s="288"/>
      <c r="C60" s="288">
        <f>C59</f>
        <v>0</v>
      </c>
      <c r="D60" s="288">
        <f>SUM(D56:D59)</f>
        <v>1000000</v>
      </c>
      <c r="E60" s="289"/>
      <c r="F60" s="274">
        <f>SUM(F56:F59)</f>
        <v>41340.82191780822</v>
      </c>
      <c r="G60" s="288"/>
      <c r="H60" s="290"/>
      <c r="I60" s="256"/>
      <c r="J60" s="256"/>
    </row>
    <row r="61" spans="1:10" ht="12.75" outlineLevel="1">
      <c r="A61" s="291"/>
      <c r="B61" s="282"/>
      <c r="C61" s="282"/>
      <c r="D61" s="282"/>
      <c r="E61" s="284"/>
      <c r="F61" s="285"/>
      <c r="G61" s="282"/>
      <c r="H61" s="282"/>
      <c r="I61" s="256"/>
      <c r="J61" s="256"/>
    </row>
    <row r="62" spans="1:10" ht="12.75" outlineLevel="1">
      <c r="A62" s="864" t="s">
        <v>113</v>
      </c>
      <c r="B62" s="864"/>
      <c r="C62" s="864"/>
      <c r="D62" s="864"/>
      <c r="E62" s="864"/>
      <c r="F62" s="864"/>
      <c r="G62" s="864"/>
      <c r="H62" s="864"/>
      <c r="I62" s="256"/>
      <c r="J62" s="256"/>
    </row>
    <row r="63" spans="1:10" ht="12.75" outlineLevel="1">
      <c r="A63" s="271"/>
      <c r="B63" s="272"/>
      <c r="C63" s="272"/>
      <c r="D63" s="272"/>
      <c r="E63" s="273"/>
      <c r="F63" s="274"/>
      <c r="G63" s="272"/>
      <c r="H63" s="275"/>
      <c r="I63" s="256"/>
      <c r="J63" s="256"/>
    </row>
    <row r="64" spans="1:10" ht="22.5" outlineLevel="1">
      <c r="A64" s="276" t="s">
        <v>114</v>
      </c>
      <c r="B64" s="277" t="s">
        <v>115</v>
      </c>
      <c r="C64" s="277" t="s">
        <v>116</v>
      </c>
      <c r="D64" s="277" t="s">
        <v>117</v>
      </c>
      <c r="E64" s="278" t="s">
        <v>118</v>
      </c>
      <c r="F64" s="279" t="s">
        <v>48</v>
      </c>
      <c r="G64" s="277"/>
      <c r="H64" s="280"/>
      <c r="I64" s="256"/>
      <c r="J64" s="256"/>
    </row>
    <row r="65" spans="1:10" ht="12.75" outlineLevel="1">
      <c r="A65" s="281" t="s">
        <v>125</v>
      </c>
      <c r="B65" s="282"/>
      <c r="C65" s="282">
        <f>C60</f>
        <v>0</v>
      </c>
      <c r="D65" s="282"/>
      <c r="E65" s="284"/>
      <c r="F65" s="285"/>
      <c r="G65" s="282"/>
      <c r="H65" s="286"/>
      <c r="I65" s="256"/>
      <c r="J65" s="256"/>
    </row>
    <row r="66" spans="1:10" ht="12.75" outlineLevel="1">
      <c r="A66" s="307">
        <v>46112</v>
      </c>
      <c r="B66" s="282">
        <f>A66-A59</f>
        <v>90</v>
      </c>
      <c r="C66" s="282">
        <f>C65-D66</f>
        <v>0</v>
      </c>
      <c r="D66" s="282"/>
      <c r="E66" s="308">
        <f>$E$11+$E$12</f>
        <v>0.0664</v>
      </c>
      <c r="F66" s="285">
        <f>B66*C65*E66/I66</f>
        <v>0</v>
      </c>
      <c r="G66" s="282"/>
      <c r="H66" s="286"/>
      <c r="I66" s="256">
        <v>365</v>
      </c>
      <c r="J66" s="256"/>
    </row>
    <row r="67" spans="1:10" ht="12.75" outlineLevel="1">
      <c r="A67" s="307">
        <v>46203</v>
      </c>
      <c r="B67" s="282">
        <f>A67-A66</f>
        <v>91</v>
      </c>
      <c r="C67" s="282">
        <f>C66-D67</f>
        <v>0</v>
      </c>
      <c r="D67" s="282"/>
      <c r="E67" s="308">
        <f>$E$11+$E$12</f>
        <v>0.0664</v>
      </c>
      <c r="F67" s="285">
        <f>B67*C66*E67/I67</f>
        <v>0</v>
      </c>
      <c r="G67" s="282"/>
      <c r="H67" s="286"/>
      <c r="I67" s="256">
        <v>365</v>
      </c>
      <c r="J67" s="256"/>
    </row>
    <row r="68" spans="1:10" ht="12.75" outlineLevel="1">
      <c r="A68" s="307">
        <v>46295</v>
      </c>
      <c r="B68" s="282">
        <f>A68-A67</f>
        <v>92</v>
      </c>
      <c r="C68" s="282">
        <f>C67-D68</f>
        <v>0</v>
      </c>
      <c r="D68" s="282"/>
      <c r="E68" s="308">
        <f>$E$11+$E$12</f>
        <v>0.0664</v>
      </c>
      <c r="F68" s="285">
        <f>B68*C67*E68/I68</f>
        <v>0</v>
      </c>
      <c r="G68" s="282"/>
      <c r="H68" s="286"/>
      <c r="I68" s="256">
        <v>365</v>
      </c>
      <c r="J68" s="256"/>
    </row>
    <row r="69" spans="1:10" ht="12.75" outlineLevel="1">
      <c r="A69" s="307">
        <v>46387</v>
      </c>
      <c r="B69" s="282">
        <f>A69-A68</f>
        <v>92</v>
      </c>
      <c r="C69" s="282">
        <f>C68-D69</f>
        <v>0</v>
      </c>
      <c r="D69" s="282"/>
      <c r="E69" s="308">
        <f>$E$11+$E$12</f>
        <v>0.0664</v>
      </c>
      <c r="F69" s="285">
        <f>B69*C68*E69/I69</f>
        <v>0</v>
      </c>
      <c r="G69" s="282"/>
      <c r="H69" s="286"/>
      <c r="I69" s="256">
        <v>365</v>
      </c>
      <c r="J69" s="256"/>
    </row>
    <row r="70" spans="1:10" ht="12.75" outlineLevel="1">
      <c r="A70" s="309"/>
      <c r="B70" s="288"/>
      <c r="C70" s="288">
        <f>C69</f>
        <v>0</v>
      </c>
      <c r="D70" s="288">
        <f>SUM(D66:D69)</f>
        <v>0</v>
      </c>
      <c r="E70" s="289"/>
      <c r="F70" s="274">
        <f>SUM(F66:F69)</f>
        <v>0</v>
      </c>
      <c r="G70" s="288"/>
      <c r="H70" s="290"/>
      <c r="I70" s="256"/>
      <c r="J70" s="256"/>
    </row>
    <row r="71" spans="1:10" ht="12.75" outlineLevel="1">
      <c r="A71" s="291"/>
      <c r="B71" s="282"/>
      <c r="C71" s="282"/>
      <c r="D71" s="282"/>
      <c r="E71" s="284"/>
      <c r="F71" s="285"/>
      <c r="G71" s="282"/>
      <c r="H71" s="282"/>
      <c r="I71" s="256"/>
      <c r="J71" s="256"/>
    </row>
    <row r="72" spans="1:10" ht="12.75" outlineLevel="1">
      <c r="A72" s="864" t="s">
        <v>113</v>
      </c>
      <c r="B72" s="864"/>
      <c r="C72" s="864"/>
      <c r="D72" s="864"/>
      <c r="E72" s="864"/>
      <c r="F72" s="864"/>
      <c r="G72" s="864"/>
      <c r="H72" s="864"/>
      <c r="I72" s="256"/>
      <c r="J72" s="256"/>
    </row>
    <row r="73" spans="1:10" ht="12.75" outlineLevel="1">
      <c r="A73" s="271"/>
      <c r="B73" s="272"/>
      <c r="C73" s="272"/>
      <c r="D73" s="272"/>
      <c r="E73" s="273"/>
      <c r="F73" s="274"/>
      <c r="G73" s="272"/>
      <c r="H73" s="275"/>
      <c r="I73" s="256"/>
      <c r="J73" s="256"/>
    </row>
    <row r="74" spans="1:10" ht="22.5" outlineLevel="1">
      <c r="A74" s="276" t="s">
        <v>114</v>
      </c>
      <c r="B74" s="277" t="s">
        <v>115</v>
      </c>
      <c r="C74" s="277" t="s">
        <v>116</v>
      </c>
      <c r="D74" s="277" t="s">
        <v>117</v>
      </c>
      <c r="E74" s="278" t="s">
        <v>118</v>
      </c>
      <c r="F74" s="279" t="s">
        <v>48</v>
      </c>
      <c r="G74" s="277"/>
      <c r="H74" s="280"/>
      <c r="I74" s="256"/>
      <c r="J74" s="256"/>
    </row>
    <row r="75" spans="1:10" ht="12.75" outlineLevel="1">
      <c r="A75" s="281" t="s">
        <v>126</v>
      </c>
      <c r="B75" s="282"/>
      <c r="C75" s="282">
        <f>C70</f>
        <v>0</v>
      </c>
      <c r="D75" s="282"/>
      <c r="E75" s="284"/>
      <c r="F75" s="285"/>
      <c r="G75" s="282"/>
      <c r="H75" s="286"/>
      <c r="I75" s="256"/>
      <c r="J75" s="256"/>
    </row>
    <row r="76" spans="1:10" ht="12.75" outlineLevel="1">
      <c r="A76" s="307">
        <v>46477</v>
      </c>
      <c r="B76" s="282">
        <f>A76-A69</f>
        <v>90</v>
      </c>
      <c r="C76" s="282">
        <f>C75-D76</f>
        <v>0</v>
      </c>
      <c r="D76" s="282"/>
      <c r="E76" s="308">
        <f>$E$11+$E$12</f>
        <v>0.0664</v>
      </c>
      <c r="F76" s="285">
        <f>B76*C75*E76/I76</f>
        <v>0</v>
      </c>
      <c r="G76" s="282"/>
      <c r="H76" s="286"/>
      <c r="I76" s="256">
        <v>365</v>
      </c>
      <c r="J76" s="256"/>
    </row>
    <row r="77" spans="1:10" ht="12.75" outlineLevel="1">
      <c r="A77" s="307">
        <v>46568</v>
      </c>
      <c r="B77" s="282">
        <f>A77-A76</f>
        <v>91</v>
      </c>
      <c r="C77" s="282">
        <f>C76-D77</f>
        <v>0</v>
      </c>
      <c r="D77" s="282"/>
      <c r="E77" s="308">
        <f>$E$11+$E$12</f>
        <v>0.0664</v>
      </c>
      <c r="F77" s="285">
        <f>B77*C76*E77/I77</f>
        <v>0</v>
      </c>
      <c r="G77" s="282"/>
      <c r="H77" s="286"/>
      <c r="I77" s="256">
        <v>365</v>
      </c>
      <c r="J77" s="256"/>
    </row>
    <row r="78" spans="1:10" ht="12.75" outlineLevel="1">
      <c r="A78" s="307">
        <v>46660</v>
      </c>
      <c r="B78" s="282">
        <f>A78-A77</f>
        <v>92</v>
      </c>
      <c r="C78" s="282">
        <f>C77-D78</f>
        <v>0</v>
      </c>
      <c r="D78" s="282"/>
      <c r="E78" s="308">
        <f>$E$11+$E$12</f>
        <v>0.0664</v>
      </c>
      <c r="F78" s="285">
        <f>B78*C77*E78/I78</f>
        <v>0</v>
      </c>
      <c r="G78" s="282"/>
      <c r="H78" s="286"/>
      <c r="I78" s="256">
        <v>365</v>
      </c>
      <c r="J78" s="256"/>
    </row>
    <row r="79" spans="1:10" ht="12.75" outlineLevel="1">
      <c r="A79" s="307">
        <v>46752</v>
      </c>
      <c r="B79" s="282">
        <f>A79-A78</f>
        <v>92</v>
      </c>
      <c r="C79" s="282">
        <f>C78-D79</f>
        <v>0</v>
      </c>
      <c r="D79" s="282"/>
      <c r="E79" s="308">
        <f>$E$11+$E$12</f>
        <v>0.0664</v>
      </c>
      <c r="F79" s="285">
        <f>B79*C78*E79/I79</f>
        <v>0</v>
      </c>
      <c r="G79" s="282"/>
      <c r="H79" s="286"/>
      <c r="I79" s="256">
        <v>365</v>
      </c>
      <c r="J79" s="256"/>
    </row>
    <row r="80" spans="1:10" ht="12.75" outlineLevel="1">
      <c r="A80" s="309"/>
      <c r="B80" s="288"/>
      <c r="C80" s="288">
        <f>C79</f>
        <v>0</v>
      </c>
      <c r="D80" s="288">
        <f>SUM(D76:D79)</f>
        <v>0</v>
      </c>
      <c r="E80" s="289"/>
      <c r="F80" s="274">
        <f>SUM(F76:F79)</f>
        <v>0</v>
      </c>
      <c r="G80" s="288"/>
      <c r="H80" s="290"/>
      <c r="I80" s="256"/>
      <c r="J80" s="256"/>
    </row>
    <row r="81" spans="1:10" ht="12.75" outlineLevel="1">
      <c r="A81" s="291"/>
      <c r="B81" s="282"/>
      <c r="C81" s="282"/>
      <c r="D81" s="282"/>
      <c r="E81" s="284"/>
      <c r="F81" s="285"/>
      <c r="G81" s="282"/>
      <c r="H81" s="282"/>
      <c r="I81" s="256"/>
      <c r="J81" s="256"/>
    </row>
    <row r="82" spans="1:10" ht="12.75" outlineLevel="1">
      <c r="A82" s="864" t="s">
        <v>113</v>
      </c>
      <c r="B82" s="864"/>
      <c r="C82" s="864"/>
      <c r="D82" s="864"/>
      <c r="E82" s="864"/>
      <c r="F82" s="864"/>
      <c r="G82" s="864"/>
      <c r="H82" s="864"/>
      <c r="I82" s="256"/>
      <c r="J82" s="256"/>
    </row>
    <row r="83" spans="1:10" ht="12.75" outlineLevel="1">
      <c r="A83" s="271"/>
      <c r="B83" s="272"/>
      <c r="C83" s="272"/>
      <c r="D83" s="272"/>
      <c r="E83" s="273"/>
      <c r="F83" s="274"/>
      <c r="G83" s="272"/>
      <c r="H83" s="275"/>
      <c r="I83" s="256"/>
      <c r="J83" s="256"/>
    </row>
    <row r="84" spans="1:10" ht="22.5" outlineLevel="1">
      <c r="A84" s="276" t="s">
        <v>114</v>
      </c>
      <c r="B84" s="277" t="s">
        <v>115</v>
      </c>
      <c r="C84" s="277" t="s">
        <v>116</v>
      </c>
      <c r="D84" s="277" t="s">
        <v>117</v>
      </c>
      <c r="E84" s="278" t="s">
        <v>118</v>
      </c>
      <c r="F84" s="279" t="s">
        <v>48</v>
      </c>
      <c r="G84" s="277"/>
      <c r="H84" s="280"/>
      <c r="I84" s="256"/>
      <c r="J84" s="256"/>
    </row>
    <row r="85" spans="1:10" ht="12.75" outlineLevel="1">
      <c r="A85" s="281" t="s">
        <v>127</v>
      </c>
      <c r="B85" s="282"/>
      <c r="C85" s="282">
        <f>C80</f>
        <v>0</v>
      </c>
      <c r="D85" s="282"/>
      <c r="E85" s="284"/>
      <c r="F85" s="285"/>
      <c r="G85" s="282"/>
      <c r="H85" s="286"/>
      <c r="I85" s="256"/>
      <c r="J85" s="256"/>
    </row>
    <row r="86" spans="1:10" ht="12.75" outlineLevel="1">
      <c r="A86" s="307">
        <v>46843</v>
      </c>
      <c r="B86" s="282">
        <f>A86-A79</f>
        <v>91</v>
      </c>
      <c r="C86" s="282">
        <f>C85-D86</f>
        <v>0</v>
      </c>
      <c r="D86" s="282"/>
      <c r="E86" s="308">
        <f>$E$11+$E$12</f>
        <v>0.0664</v>
      </c>
      <c r="F86" s="285">
        <f>B86*C85*E86/I86</f>
        <v>0</v>
      </c>
      <c r="G86" s="282"/>
      <c r="H86" s="286"/>
      <c r="I86" s="256">
        <v>365</v>
      </c>
      <c r="J86" s="256"/>
    </row>
    <row r="87" spans="1:10" ht="12.75" outlineLevel="1">
      <c r="A87" s="307">
        <v>46934</v>
      </c>
      <c r="B87" s="282">
        <f>A87-A86</f>
        <v>91</v>
      </c>
      <c r="C87" s="282">
        <f>C86-D87</f>
        <v>0</v>
      </c>
      <c r="D87" s="282"/>
      <c r="E87" s="308">
        <f>$E$11+$E$12</f>
        <v>0.0664</v>
      </c>
      <c r="F87" s="285">
        <f>B87*C86*E87/I87</f>
        <v>0</v>
      </c>
      <c r="G87" s="282"/>
      <c r="H87" s="286"/>
      <c r="I87" s="256">
        <v>365</v>
      </c>
      <c r="J87" s="256"/>
    </row>
    <row r="88" spans="1:10" ht="12.75" outlineLevel="1">
      <c r="A88" s="307">
        <v>47026</v>
      </c>
      <c r="B88" s="282">
        <f>A88-A87</f>
        <v>92</v>
      </c>
      <c r="C88" s="282">
        <f>C87-D88</f>
        <v>0</v>
      </c>
      <c r="D88" s="282"/>
      <c r="E88" s="308">
        <f>$E$11+$E$12</f>
        <v>0.0664</v>
      </c>
      <c r="F88" s="285">
        <f>B88*C87*E88/I88</f>
        <v>0</v>
      </c>
      <c r="G88" s="282"/>
      <c r="H88" s="286"/>
      <c r="I88" s="256">
        <v>365</v>
      </c>
      <c r="J88" s="256"/>
    </row>
    <row r="89" spans="1:10" ht="12.75" outlineLevel="1">
      <c r="A89" s="307">
        <v>47118</v>
      </c>
      <c r="B89" s="282">
        <f>A89-A88</f>
        <v>92</v>
      </c>
      <c r="C89" s="282">
        <f>C88-D89</f>
        <v>0</v>
      </c>
      <c r="D89" s="282"/>
      <c r="E89" s="308">
        <f>$E$11+$E$12</f>
        <v>0.0664</v>
      </c>
      <c r="F89" s="285">
        <f>B89*C88*E89/I89</f>
        <v>0</v>
      </c>
      <c r="G89" s="282"/>
      <c r="H89" s="286"/>
      <c r="I89" s="256">
        <v>365</v>
      </c>
      <c r="J89" s="256"/>
    </row>
    <row r="90" spans="1:10" ht="12.75" outlineLevel="1">
      <c r="A90" s="309"/>
      <c r="B90" s="288"/>
      <c r="C90" s="288">
        <f>C89</f>
        <v>0</v>
      </c>
      <c r="D90" s="288">
        <f>SUM(D86:D89)</f>
        <v>0</v>
      </c>
      <c r="E90" s="289"/>
      <c r="F90" s="274">
        <f>SUM(F86:F89)</f>
        <v>0</v>
      </c>
      <c r="G90" s="288"/>
      <c r="H90" s="290"/>
      <c r="I90" s="256"/>
      <c r="J90" s="256"/>
    </row>
    <row r="91" spans="1:10" ht="12.75" outlineLevel="1">
      <c r="A91" s="291"/>
      <c r="B91" s="282"/>
      <c r="C91" s="282"/>
      <c r="D91" s="282"/>
      <c r="E91" s="284"/>
      <c r="F91" s="285"/>
      <c r="G91" s="282"/>
      <c r="H91" s="282"/>
      <c r="I91" s="256"/>
      <c r="J91" s="256"/>
    </row>
    <row r="92" spans="1:10" ht="12.75" outlineLevel="1">
      <c r="A92" s="864" t="s">
        <v>113</v>
      </c>
      <c r="B92" s="864"/>
      <c r="C92" s="864"/>
      <c r="D92" s="864"/>
      <c r="E92" s="864"/>
      <c r="F92" s="864"/>
      <c r="G92" s="864"/>
      <c r="H92" s="864"/>
      <c r="I92" s="256"/>
      <c r="J92" s="256"/>
    </row>
    <row r="93" spans="1:10" ht="12.75" outlineLevel="1">
      <c r="A93" s="271"/>
      <c r="B93" s="272"/>
      <c r="C93" s="272"/>
      <c r="D93" s="272"/>
      <c r="E93" s="273"/>
      <c r="F93" s="274"/>
      <c r="G93" s="272"/>
      <c r="H93" s="275"/>
      <c r="I93" s="256"/>
      <c r="J93" s="256"/>
    </row>
    <row r="94" spans="1:10" ht="22.5" outlineLevel="1">
      <c r="A94" s="276" t="s">
        <v>114</v>
      </c>
      <c r="B94" s="277" t="s">
        <v>115</v>
      </c>
      <c r="C94" s="277" t="s">
        <v>116</v>
      </c>
      <c r="D94" s="277" t="s">
        <v>117</v>
      </c>
      <c r="E94" s="278" t="s">
        <v>118</v>
      </c>
      <c r="F94" s="279" t="s">
        <v>48</v>
      </c>
      <c r="G94" s="277"/>
      <c r="H94" s="280"/>
      <c r="I94" s="256"/>
      <c r="J94" s="256"/>
    </row>
    <row r="95" spans="1:10" ht="12.75" outlineLevel="1">
      <c r="A95" s="281" t="s">
        <v>128</v>
      </c>
      <c r="B95" s="282"/>
      <c r="C95" s="282">
        <f>C90</f>
        <v>0</v>
      </c>
      <c r="D95" s="282"/>
      <c r="E95" s="284"/>
      <c r="F95" s="285"/>
      <c r="G95" s="282"/>
      <c r="H95" s="286"/>
      <c r="I95" s="256"/>
      <c r="J95" s="256"/>
    </row>
    <row r="96" spans="1:10" ht="12.75" outlineLevel="1">
      <c r="A96" s="307">
        <v>47208</v>
      </c>
      <c r="B96" s="282">
        <v>90</v>
      </c>
      <c r="C96" s="282">
        <f>C95-D96</f>
        <v>0</v>
      </c>
      <c r="D96" s="282"/>
      <c r="E96" s="308">
        <f>$E$11+$E$12</f>
        <v>0.0664</v>
      </c>
      <c r="F96" s="285">
        <f>B96*C95*E96/I96</f>
        <v>0</v>
      </c>
      <c r="G96" s="282"/>
      <c r="H96" s="286"/>
      <c r="I96" s="256">
        <v>365</v>
      </c>
      <c r="J96" s="256"/>
    </row>
    <row r="97" spans="1:10" ht="12.75" outlineLevel="1">
      <c r="A97" s="307">
        <v>47299</v>
      </c>
      <c r="B97" s="282">
        <f>A97-A96</f>
        <v>91</v>
      </c>
      <c r="C97" s="282">
        <f>C96-D97</f>
        <v>0</v>
      </c>
      <c r="D97" s="282"/>
      <c r="E97" s="308">
        <f>$E$11+$E$12</f>
        <v>0.0664</v>
      </c>
      <c r="F97" s="285">
        <f>B97*C96*E97/I97</f>
        <v>0</v>
      </c>
      <c r="G97" s="282"/>
      <c r="H97" s="286"/>
      <c r="I97" s="256">
        <v>365</v>
      </c>
      <c r="J97" s="256"/>
    </row>
    <row r="98" spans="1:10" ht="12.75" outlineLevel="1">
      <c r="A98" s="307">
        <v>47391</v>
      </c>
      <c r="B98" s="282">
        <f>A98-A97</f>
        <v>92</v>
      </c>
      <c r="C98" s="282">
        <f>C97-D98</f>
        <v>0</v>
      </c>
      <c r="D98" s="282"/>
      <c r="E98" s="308">
        <f>$E$11+$E$12</f>
        <v>0.0664</v>
      </c>
      <c r="F98" s="285">
        <f>B98*C97*E98/I98</f>
        <v>0</v>
      </c>
      <c r="G98" s="282"/>
      <c r="H98" s="286"/>
      <c r="I98" s="256">
        <v>365</v>
      </c>
      <c r="J98" s="256"/>
    </row>
    <row r="99" spans="1:10" ht="12.75" outlineLevel="1">
      <c r="A99" s="307">
        <v>47483</v>
      </c>
      <c r="B99" s="282">
        <f>A99-A98</f>
        <v>92</v>
      </c>
      <c r="C99" s="282">
        <f>C98-D99</f>
        <v>0</v>
      </c>
      <c r="D99" s="282"/>
      <c r="E99" s="308">
        <f>$E$11+$E$12</f>
        <v>0.0664</v>
      </c>
      <c r="F99" s="285">
        <f>B99*C98*E99/I99</f>
        <v>0</v>
      </c>
      <c r="G99" s="282"/>
      <c r="H99" s="286"/>
      <c r="I99" s="256">
        <v>365</v>
      </c>
      <c r="J99" s="256"/>
    </row>
    <row r="100" spans="1:10" ht="12.75" outlineLevel="1">
      <c r="A100" s="309"/>
      <c r="B100" s="288"/>
      <c r="C100" s="288">
        <f>C99</f>
        <v>0</v>
      </c>
      <c r="D100" s="288">
        <f>SUM(D96:D99)</f>
        <v>0</v>
      </c>
      <c r="E100" s="289"/>
      <c r="F100" s="274">
        <f>SUM(F96:F99)</f>
        <v>0</v>
      </c>
      <c r="G100" s="288"/>
      <c r="H100" s="290"/>
      <c r="I100" s="256"/>
      <c r="J100" s="256"/>
    </row>
    <row r="101" spans="1:10" ht="12.75" outlineLevel="1">
      <c r="A101" s="291"/>
      <c r="B101" s="282"/>
      <c r="C101" s="282"/>
      <c r="D101" s="282"/>
      <c r="E101" s="284"/>
      <c r="F101" s="285"/>
      <c r="G101" s="282"/>
      <c r="H101" s="282"/>
      <c r="I101" s="256"/>
      <c r="J101" s="256"/>
    </row>
    <row r="102" spans="1:10" ht="12.75" outlineLevel="1">
      <c r="A102" s="864" t="s">
        <v>113</v>
      </c>
      <c r="B102" s="864"/>
      <c r="C102" s="864"/>
      <c r="D102" s="864"/>
      <c r="E102" s="864"/>
      <c r="F102" s="864"/>
      <c r="G102" s="864"/>
      <c r="H102" s="864"/>
      <c r="I102" s="256"/>
      <c r="J102" s="256"/>
    </row>
    <row r="103" spans="1:10" ht="12.75" outlineLevel="1">
      <c r="A103" s="271"/>
      <c r="B103" s="272"/>
      <c r="C103" s="272"/>
      <c r="D103" s="272"/>
      <c r="E103" s="273"/>
      <c r="F103" s="274"/>
      <c r="G103" s="272"/>
      <c r="H103" s="275"/>
      <c r="I103" s="256"/>
      <c r="J103" s="256"/>
    </row>
    <row r="104" spans="1:10" ht="22.5" outlineLevel="1">
      <c r="A104" s="276" t="s">
        <v>114</v>
      </c>
      <c r="B104" s="277" t="s">
        <v>115</v>
      </c>
      <c r="C104" s="277" t="s">
        <v>116</v>
      </c>
      <c r="D104" s="277" t="s">
        <v>117</v>
      </c>
      <c r="E104" s="278" t="s">
        <v>118</v>
      </c>
      <c r="F104" s="279" t="s">
        <v>48</v>
      </c>
      <c r="G104" s="277"/>
      <c r="H104" s="280"/>
      <c r="I104" s="256"/>
      <c r="J104" s="256"/>
    </row>
    <row r="105" spans="1:10" ht="12.75" outlineLevel="1">
      <c r="A105" s="281" t="s">
        <v>208</v>
      </c>
      <c r="B105" s="282"/>
      <c r="C105" s="282">
        <f>C100</f>
        <v>0</v>
      </c>
      <c r="D105" s="282"/>
      <c r="E105" s="284"/>
      <c r="F105" s="285"/>
      <c r="G105" s="282"/>
      <c r="H105" s="286"/>
      <c r="I105" s="256"/>
      <c r="J105" s="256"/>
    </row>
    <row r="106" spans="1:10" ht="12.75" outlineLevel="1">
      <c r="A106" s="307">
        <v>47573</v>
      </c>
      <c r="B106" s="282">
        <f>A106-A99</f>
        <v>90</v>
      </c>
      <c r="C106" s="282">
        <f>C105-D106</f>
        <v>0</v>
      </c>
      <c r="D106" s="282"/>
      <c r="E106" s="308">
        <f>$E$11+$E$12</f>
        <v>0.0664</v>
      </c>
      <c r="F106" s="285">
        <f>B106*C105*E106/I106</f>
        <v>0</v>
      </c>
      <c r="G106" s="282"/>
      <c r="H106" s="286"/>
      <c r="I106" s="256">
        <v>365</v>
      </c>
      <c r="J106" s="256"/>
    </row>
    <row r="107" spans="1:10" ht="12.75" outlineLevel="1">
      <c r="A107" s="307">
        <v>47664</v>
      </c>
      <c r="B107" s="282">
        <f>A107-A106</f>
        <v>91</v>
      </c>
      <c r="C107" s="282">
        <f>C106-D107</f>
        <v>0</v>
      </c>
      <c r="D107" s="282"/>
      <c r="E107" s="308">
        <f>$E$11+$E$12</f>
        <v>0.0664</v>
      </c>
      <c r="F107" s="285">
        <f>B107*C106*E107/I107</f>
        <v>0</v>
      </c>
      <c r="G107" s="282"/>
      <c r="H107" s="286"/>
      <c r="I107" s="256">
        <v>365</v>
      </c>
      <c r="J107" s="256"/>
    </row>
    <row r="108" spans="1:10" ht="12.75" outlineLevel="1">
      <c r="A108" s="307">
        <v>47756</v>
      </c>
      <c r="B108" s="282">
        <f>A108-A107</f>
        <v>92</v>
      </c>
      <c r="C108" s="282">
        <f>C107-D108</f>
        <v>0</v>
      </c>
      <c r="D108" s="282"/>
      <c r="E108" s="308">
        <f>$E$11+$E$12</f>
        <v>0.0664</v>
      </c>
      <c r="F108" s="285">
        <f>B108*C107*E108/I108</f>
        <v>0</v>
      </c>
      <c r="G108" s="282"/>
      <c r="H108" s="286"/>
      <c r="I108" s="256">
        <v>365</v>
      </c>
      <c r="J108" s="256"/>
    </row>
    <row r="109" spans="1:10" ht="12.75" outlineLevel="1">
      <c r="A109" s="307">
        <v>47848</v>
      </c>
      <c r="B109" s="282">
        <f>A109-A108</f>
        <v>92</v>
      </c>
      <c r="C109" s="282">
        <f>C108-D109</f>
        <v>0</v>
      </c>
      <c r="D109" s="282"/>
      <c r="E109" s="308">
        <f>$E$11+$E$12</f>
        <v>0.0664</v>
      </c>
      <c r="F109" s="285">
        <f>B109*C108*E109/I109</f>
        <v>0</v>
      </c>
      <c r="G109" s="282"/>
      <c r="H109" s="286"/>
      <c r="I109" s="256">
        <v>365</v>
      </c>
      <c r="J109" s="256"/>
    </row>
    <row r="110" spans="1:10" ht="12.75" outlineLevel="1">
      <c r="A110" s="309"/>
      <c r="B110" s="288"/>
      <c r="C110" s="288">
        <f>C109</f>
        <v>0</v>
      </c>
      <c r="D110" s="288">
        <f>SUM(D106:D109)</f>
        <v>0</v>
      </c>
      <c r="E110" s="289"/>
      <c r="F110" s="274">
        <f>SUM(F106:F109)</f>
        <v>0</v>
      </c>
      <c r="G110" s="288"/>
      <c r="H110" s="290"/>
      <c r="I110" s="256"/>
      <c r="J110" s="256"/>
    </row>
    <row r="111" spans="1:10" ht="12.75" outlineLevel="1">
      <c r="A111" s="291"/>
      <c r="B111" s="282"/>
      <c r="C111" s="282"/>
      <c r="D111" s="282"/>
      <c r="E111" s="284"/>
      <c r="F111" s="285"/>
      <c r="G111" s="282"/>
      <c r="H111" s="282"/>
      <c r="I111" s="256"/>
      <c r="J111" s="256"/>
    </row>
    <row r="112" spans="1:10" ht="12.75" outlineLevel="1">
      <c r="A112" s="864" t="s">
        <v>113</v>
      </c>
      <c r="B112" s="864"/>
      <c r="C112" s="864"/>
      <c r="D112" s="864"/>
      <c r="E112" s="864"/>
      <c r="F112" s="864"/>
      <c r="G112" s="864"/>
      <c r="H112" s="864"/>
      <c r="I112" s="256"/>
      <c r="J112" s="256"/>
    </row>
    <row r="113" spans="1:10" ht="12.75" outlineLevel="1">
      <c r="A113" s="271"/>
      <c r="B113" s="272"/>
      <c r="C113" s="272"/>
      <c r="D113" s="272"/>
      <c r="E113" s="273"/>
      <c r="F113" s="274"/>
      <c r="G113" s="272"/>
      <c r="H113" s="275"/>
      <c r="I113" s="256"/>
      <c r="J113" s="256"/>
    </row>
    <row r="114" spans="1:10" ht="22.5" outlineLevel="1">
      <c r="A114" s="276" t="s">
        <v>114</v>
      </c>
      <c r="B114" s="277" t="s">
        <v>115</v>
      </c>
      <c r="C114" s="277" t="s">
        <v>116</v>
      </c>
      <c r="D114" s="277" t="s">
        <v>117</v>
      </c>
      <c r="E114" s="278" t="s">
        <v>118</v>
      </c>
      <c r="F114" s="279" t="s">
        <v>48</v>
      </c>
      <c r="G114" s="277"/>
      <c r="H114" s="280"/>
      <c r="I114" s="256"/>
      <c r="J114" s="256"/>
    </row>
    <row r="115" spans="1:10" ht="12.75" outlineLevel="1">
      <c r="A115" s="281" t="s">
        <v>130</v>
      </c>
      <c r="B115" s="282"/>
      <c r="C115" s="282">
        <f>C110</f>
        <v>0</v>
      </c>
      <c r="D115" s="282"/>
      <c r="E115" s="284"/>
      <c r="F115" s="285"/>
      <c r="G115" s="282"/>
      <c r="H115" s="286"/>
      <c r="I115" s="256"/>
      <c r="J115" s="256"/>
    </row>
    <row r="116" spans="1:10" ht="12.75" outlineLevel="1">
      <c r="A116" s="307">
        <v>47938</v>
      </c>
      <c r="B116" s="282">
        <f>A116-A109</f>
        <v>90</v>
      </c>
      <c r="C116" s="282">
        <f>C115-D116</f>
        <v>0</v>
      </c>
      <c r="D116" s="282"/>
      <c r="E116" s="308">
        <f>$E$11+$E$12</f>
        <v>0.0664</v>
      </c>
      <c r="F116" s="285">
        <f>B116*C115*E116/I116</f>
        <v>0</v>
      </c>
      <c r="G116" s="282"/>
      <c r="H116" s="286"/>
      <c r="I116" s="256">
        <v>365</v>
      </c>
      <c r="J116" s="256"/>
    </row>
    <row r="117" spans="1:10" ht="12.75" outlineLevel="1">
      <c r="A117" s="307">
        <v>48029</v>
      </c>
      <c r="B117" s="282">
        <f>A117-A116</f>
        <v>91</v>
      </c>
      <c r="C117" s="282">
        <f>C116-D117</f>
        <v>0</v>
      </c>
      <c r="D117" s="282"/>
      <c r="E117" s="308">
        <f>$E$11+$E$12</f>
        <v>0.0664</v>
      </c>
      <c r="F117" s="285">
        <f>B117*C116*E117/I117</f>
        <v>0</v>
      </c>
      <c r="G117" s="282"/>
      <c r="H117" s="286"/>
      <c r="I117" s="256">
        <v>365</v>
      </c>
      <c r="J117" s="256"/>
    </row>
    <row r="118" spans="1:10" ht="12.75" outlineLevel="1">
      <c r="A118" s="307">
        <v>48121</v>
      </c>
      <c r="B118" s="282">
        <f>A118-A117</f>
        <v>92</v>
      </c>
      <c r="C118" s="282">
        <f>C117-D118</f>
        <v>0</v>
      </c>
      <c r="D118" s="282"/>
      <c r="E118" s="308">
        <f>$E$11+$E$12</f>
        <v>0.0664</v>
      </c>
      <c r="F118" s="285">
        <f>B118*C117*E118/I118</f>
        <v>0</v>
      </c>
      <c r="G118" s="282"/>
      <c r="H118" s="286"/>
      <c r="I118" s="256">
        <v>365</v>
      </c>
      <c r="J118" s="256"/>
    </row>
    <row r="119" spans="1:10" ht="12.75" outlineLevel="1">
      <c r="A119" s="307">
        <v>48213</v>
      </c>
      <c r="B119" s="282">
        <f>A119-A118</f>
        <v>92</v>
      </c>
      <c r="C119" s="282">
        <f>C118-D119</f>
        <v>0</v>
      </c>
      <c r="D119" s="282"/>
      <c r="E119" s="308">
        <f>$E$11+$E$12</f>
        <v>0.0664</v>
      </c>
      <c r="F119" s="285">
        <f>B119*C118*E119/I119</f>
        <v>0</v>
      </c>
      <c r="G119" s="282"/>
      <c r="H119" s="286"/>
      <c r="I119" s="256">
        <v>365</v>
      </c>
      <c r="J119" s="256"/>
    </row>
    <row r="120" spans="1:10" ht="12.75" outlineLevel="1">
      <c r="A120" s="309"/>
      <c r="B120" s="288"/>
      <c r="C120" s="288">
        <f>C119</f>
        <v>0</v>
      </c>
      <c r="D120" s="288">
        <f>SUM(D116:D119)</f>
        <v>0</v>
      </c>
      <c r="E120" s="289"/>
      <c r="F120" s="274">
        <f>SUM(F116:F119)</f>
        <v>0</v>
      </c>
      <c r="G120" s="288"/>
      <c r="H120" s="290"/>
      <c r="I120" s="256"/>
      <c r="J120" s="256"/>
    </row>
    <row r="121" spans="1:10" ht="12.75" outlineLevel="1">
      <c r="A121" s="256"/>
      <c r="B121" s="255"/>
      <c r="C121" s="255"/>
      <c r="D121" s="255"/>
      <c r="E121" s="257"/>
      <c r="F121" s="258"/>
      <c r="G121" s="255"/>
      <c r="H121" s="255"/>
      <c r="I121" s="256"/>
      <c r="J121" s="256"/>
    </row>
    <row r="122" spans="1:10" ht="12.75" outlineLevel="1">
      <c r="A122" s="864" t="s">
        <v>113</v>
      </c>
      <c r="B122" s="864"/>
      <c r="C122" s="864"/>
      <c r="D122" s="864"/>
      <c r="E122" s="864"/>
      <c r="F122" s="864"/>
      <c r="G122" s="864"/>
      <c r="H122" s="864"/>
      <c r="I122" s="256"/>
      <c r="J122" s="256"/>
    </row>
    <row r="123" spans="1:10" ht="12.75" outlineLevel="1">
      <c r="A123" s="271"/>
      <c r="B123" s="272"/>
      <c r="C123" s="272"/>
      <c r="D123" s="272"/>
      <c r="E123" s="273"/>
      <c r="F123" s="274"/>
      <c r="G123" s="272"/>
      <c r="H123" s="275"/>
      <c r="I123" s="256"/>
      <c r="J123" s="256"/>
    </row>
    <row r="124" spans="1:10" ht="22.5" outlineLevel="1">
      <c r="A124" s="276" t="s">
        <v>114</v>
      </c>
      <c r="B124" s="277" t="s">
        <v>115</v>
      </c>
      <c r="C124" s="277" t="s">
        <v>116</v>
      </c>
      <c r="D124" s="277" t="s">
        <v>117</v>
      </c>
      <c r="E124" s="278" t="s">
        <v>118</v>
      </c>
      <c r="F124" s="279" t="s">
        <v>48</v>
      </c>
      <c r="G124" s="277"/>
      <c r="H124" s="280"/>
      <c r="I124" s="256"/>
      <c r="J124" s="256"/>
    </row>
    <row r="125" spans="1:10" ht="12.75" outlineLevel="1">
      <c r="A125" s="281" t="s">
        <v>131</v>
      </c>
      <c r="B125" s="282"/>
      <c r="C125" s="282">
        <f>C120</f>
        <v>0</v>
      </c>
      <c r="D125" s="282"/>
      <c r="E125" s="284"/>
      <c r="F125" s="285"/>
      <c r="G125" s="282"/>
      <c r="H125" s="286"/>
      <c r="I125" s="256"/>
      <c r="J125" s="256"/>
    </row>
    <row r="126" spans="1:10" ht="12.75" outlineLevel="1">
      <c r="A126" s="307">
        <v>48304</v>
      </c>
      <c r="B126" s="282">
        <f>A126-A119</f>
        <v>91</v>
      </c>
      <c r="C126" s="282">
        <f>C125-D126</f>
        <v>0</v>
      </c>
      <c r="D126" s="282"/>
      <c r="E126" s="308">
        <f>$E$11+$E$12</f>
        <v>0.0664</v>
      </c>
      <c r="F126" s="285">
        <f>B126*C125*E126/I126</f>
        <v>0</v>
      </c>
      <c r="G126" s="282"/>
      <c r="H126" s="286"/>
      <c r="I126" s="256">
        <v>365</v>
      </c>
      <c r="J126" s="256"/>
    </row>
    <row r="127" spans="1:10" ht="12.75" outlineLevel="1">
      <c r="A127" s="307">
        <v>48395</v>
      </c>
      <c r="B127" s="282">
        <f>A127-A126</f>
        <v>91</v>
      </c>
      <c r="C127" s="282">
        <f>C126-D127</f>
        <v>0</v>
      </c>
      <c r="D127" s="282"/>
      <c r="E127" s="308">
        <f>$E$11+$E$12</f>
        <v>0.0664</v>
      </c>
      <c r="F127" s="285">
        <f>B127*C126*E127/I127</f>
        <v>0</v>
      </c>
      <c r="G127" s="282"/>
      <c r="H127" s="286"/>
      <c r="I127" s="256">
        <v>365</v>
      </c>
      <c r="J127" s="256"/>
    </row>
    <row r="128" spans="1:10" ht="12.75" outlineLevel="1">
      <c r="A128" s="307">
        <v>48487</v>
      </c>
      <c r="B128" s="282">
        <f>A128-A127</f>
        <v>92</v>
      </c>
      <c r="C128" s="282">
        <f>C127-D128</f>
        <v>0</v>
      </c>
      <c r="D128" s="282"/>
      <c r="E128" s="308">
        <f>$E$11+$E$12</f>
        <v>0.0664</v>
      </c>
      <c r="F128" s="285">
        <f>B128*C127*E128/I128</f>
        <v>0</v>
      </c>
      <c r="G128" s="282"/>
      <c r="H128" s="286"/>
      <c r="I128" s="256">
        <v>365</v>
      </c>
      <c r="J128" s="256"/>
    </row>
    <row r="129" spans="1:10" ht="12.75" outlineLevel="1">
      <c r="A129" s="307">
        <v>48579</v>
      </c>
      <c r="B129" s="282">
        <f>A129-A128</f>
        <v>92</v>
      </c>
      <c r="C129" s="282">
        <f>C128-D129</f>
        <v>0</v>
      </c>
      <c r="D129" s="282"/>
      <c r="E129" s="308">
        <f>$E$11+$E$12</f>
        <v>0.0664</v>
      </c>
      <c r="F129" s="285">
        <f>B129*C128*E129/I129</f>
        <v>0</v>
      </c>
      <c r="G129" s="282"/>
      <c r="H129" s="286"/>
      <c r="I129" s="256">
        <v>365</v>
      </c>
      <c r="J129" s="256"/>
    </row>
    <row r="130" spans="1:10" ht="12.75" outlineLevel="1">
      <c r="A130" s="309"/>
      <c r="B130" s="288"/>
      <c r="C130" s="288">
        <f>C129</f>
        <v>0</v>
      </c>
      <c r="D130" s="288">
        <f>SUM(D126:D129)</f>
        <v>0</v>
      </c>
      <c r="E130" s="289"/>
      <c r="F130" s="274">
        <f>SUM(F126:F129)</f>
        <v>0</v>
      </c>
      <c r="G130" s="288"/>
      <c r="H130" s="290"/>
      <c r="I130" s="256"/>
      <c r="J130" s="256"/>
    </row>
    <row r="131" spans="1:10" ht="12.75" outlineLevel="1">
      <c r="A131" s="310"/>
      <c r="B131" s="311"/>
      <c r="C131" s="311"/>
      <c r="D131" s="312"/>
      <c r="E131" s="312"/>
      <c r="F131" s="312"/>
      <c r="G131" s="311"/>
      <c r="H131" s="313"/>
      <c r="I131" s="256"/>
      <c r="J131" s="256"/>
    </row>
    <row r="132" spans="1:10" ht="12.75" outlineLevel="1">
      <c r="A132" s="864" t="s">
        <v>113</v>
      </c>
      <c r="B132" s="864"/>
      <c r="C132" s="864"/>
      <c r="D132" s="864"/>
      <c r="E132" s="864"/>
      <c r="F132" s="864"/>
      <c r="G132" s="864"/>
      <c r="H132" s="864"/>
      <c r="I132" s="256"/>
      <c r="J132" s="256"/>
    </row>
    <row r="133" spans="1:10" ht="12.75" outlineLevel="1">
      <c r="A133" s="271"/>
      <c r="B133" s="272"/>
      <c r="C133" s="272"/>
      <c r="D133" s="272"/>
      <c r="E133" s="273"/>
      <c r="F133" s="274"/>
      <c r="G133" s="272"/>
      <c r="H133" s="275"/>
      <c r="I133" s="256"/>
      <c r="J133" s="256"/>
    </row>
    <row r="134" spans="1:10" ht="22.5" outlineLevel="1">
      <c r="A134" s="276" t="s">
        <v>114</v>
      </c>
      <c r="B134" s="277" t="s">
        <v>115</v>
      </c>
      <c r="C134" s="277" t="s">
        <v>116</v>
      </c>
      <c r="D134" s="277" t="s">
        <v>117</v>
      </c>
      <c r="E134" s="278" t="s">
        <v>118</v>
      </c>
      <c r="F134" s="279" t="s">
        <v>48</v>
      </c>
      <c r="G134" s="277"/>
      <c r="H134" s="280"/>
      <c r="I134" s="256"/>
      <c r="J134" s="256"/>
    </row>
    <row r="135" spans="1:10" ht="12.75" outlineLevel="1">
      <c r="A135" s="281" t="s">
        <v>132</v>
      </c>
      <c r="B135" s="282"/>
      <c r="C135" s="282">
        <f>C130</f>
        <v>0</v>
      </c>
      <c r="D135" s="282"/>
      <c r="E135" s="284"/>
      <c r="F135" s="285"/>
      <c r="G135" s="282"/>
      <c r="H135" s="286"/>
      <c r="I135" s="256"/>
      <c r="J135" s="256"/>
    </row>
    <row r="136" spans="1:10" ht="12.75" outlineLevel="1">
      <c r="A136" s="307">
        <v>48669</v>
      </c>
      <c r="B136" s="282">
        <v>90</v>
      </c>
      <c r="C136" s="282">
        <f>C135-D136</f>
        <v>0</v>
      </c>
      <c r="D136" s="282"/>
      <c r="E136" s="308">
        <f>$E$11+$E$12</f>
        <v>0.0664</v>
      </c>
      <c r="F136" s="285">
        <f>B136*C135*E136/I136</f>
        <v>0</v>
      </c>
      <c r="G136" s="282"/>
      <c r="H136" s="286"/>
      <c r="I136" s="256">
        <v>365</v>
      </c>
      <c r="J136" s="256"/>
    </row>
    <row r="137" spans="1:10" ht="12.75" outlineLevel="1">
      <c r="A137" s="307">
        <v>48760</v>
      </c>
      <c r="B137" s="282">
        <f>A137-A136</f>
        <v>91</v>
      </c>
      <c r="C137" s="282">
        <f>C136-D137</f>
        <v>0</v>
      </c>
      <c r="D137" s="282"/>
      <c r="E137" s="308">
        <f>$E$11+$E$12</f>
        <v>0.0664</v>
      </c>
      <c r="F137" s="285">
        <f>B137*C136*E137/I137</f>
        <v>0</v>
      </c>
      <c r="G137" s="282"/>
      <c r="H137" s="286"/>
      <c r="I137" s="256">
        <v>365</v>
      </c>
      <c r="J137" s="256"/>
    </row>
    <row r="138" spans="1:10" ht="12.75" outlineLevel="1">
      <c r="A138" s="307">
        <v>48852</v>
      </c>
      <c r="B138" s="282">
        <f>A138-A137</f>
        <v>92</v>
      </c>
      <c r="C138" s="282">
        <f>C137-D138</f>
        <v>0</v>
      </c>
      <c r="D138" s="282"/>
      <c r="E138" s="308">
        <f>$E$11+$E$12</f>
        <v>0.0664</v>
      </c>
      <c r="F138" s="285">
        <f>B138*C137*E138/I138</f>
        <v>0</v>
      </c>
      <c r="G138" s="282"/>
      <c r="H138" s="286"/>
      <c r="I138" s="256">
        <v>365</v>
      </c>
      <c r="J138" s="256"/>
    </row>
    <row r="139" spans="1:10" ht="12.75" outlineLevel="1">
      <c r="A139" s="307">
        <v>48944</v>
      </c>
      <c r="B139" s="282">
        <f>A139-A138</f>
        <v>92</v>
      </c>
      <c r="C139" s="282">
        <f>C138-D139</f>
        <v>0</v>
      </c>
      <c r="D139" s="282"/>
      <c r="E139" s="308">
        <f>$E$11+$E$12</f>
        <v>0.0664</v>
      </c>
      <c r="F139" s="285">
        <f>B139*C138*E139/I139</f>
        <v>0</v>
      </c>
      <c r="G139" s="282"/>
      <c r="H139" s="286"/>
      <c r="I139" s="256">
        <v>365</v>
      </c>
      <c r="J139" s="256"/>
    </row>
    <row r="140" spans="1:10" ht="12.75" outlineLevel="1">
      <c r="A140" s="309"/>
      <c r="B140" s="288"/>
      <c r="C140" s="288">
        <f>C139</f>
        <v>0</v>
      </c>
      <c r="D140" s="288">
        <f>SUM(D136:D139)</f>
        <v>0</v>
      </c>
      <c r="E140" s="289"/>
      <c r="F140" s="274">
        <f>SUM(F136:F139)</f>
        <v>0</v>
      </c>
      <c r="G140" s="288"/>
      <c r="H140" s="290"/>
      <c r="I140" s="256"/>
      <c r="J140" s="256"/>
    </row>
    <row r="141" spans="1:10" ht="12.75" outlineLevel="1">
      <c r="A141" s="310"/>
      <c r="B141" s="311"/>
      <c r="C141" s="311"/>
      <c r="D141" s="311"/>
      <c r="E141" s="314"/>
      <c r="F141" s="315"/>
      <c r="G141" s="311"/>
      <c r="H141" s="313"/>
      <c r="I141" s="256"/>
      <c r="J141" s="256"/>
    </row>
    <row r="142" spans="1:10" ht="12.75" outlineLevel="1">
      <c r="A142" s="864" t="s">
        <v>113</v>
      </c>
      <c r="B142" s="864"/>
      <c r="C142" s="864"/>
      <c r="D142" s="864"/>
      <c r="E142" s="864"/>
      <c r="F142" s="864"/>
      <c r="G142" s="864"/>
      <c r="H142" s="864"/>
      <c r="I142" s="256"/>
      <c r="J142" s="256"/>
    </row>
    <row r="143" spans="1:10" ht="12.75" outlineLevel="1">
      <c r="A143" s="271"/>
      <c r="B143" s="272"/>
      <c r="C143" s="272"/>
      <c r="D143" s="272"/>
      <c r="E143" s="273"/>
      <c r="F143" s="274"/>
      <c r="G143" s="272"/>
      <c r="H143" s="275"/>
      <c r="I143" s="256"/>
      <c r="J143" s="256"/>
    </row>
    <row r="144" spans="1:10" ht="22.5" outlineLevel="1">
      <c r="A144" s="276" t="s">
        <v>114</v>
      </c>
      <c r="B144" s="277" t="s">
        <v>115</v>
      </c>
      <c r="C144" s="277" t="s">
        <v>116</v>
      </c>
      <c r="D144" s="277" t="s">
        <v>117</v>
      </c>
      <c r="E144" s="278" t="s">
        <v>118</v>
      </c>
      <c r="F144" s="279" t="s">
        <v>48</v>
      </c>
      <c r="G144" s="277"/>
      <c r="H144" s="280"/>
      <c r="I144" s="256"/>
      <c r="J144" s="256"/>
    </row>
    <row r="145" spans="1:10" ht="12.75" outlineLevel="1">
      <c r="A145" s="281" t="s">
        <v>133</v>
      </c>
      <c r="B145" s="282"/>
      <c r="C145" s="282">
        <f>C140</f>
        <v>0</v>
      </c>
      <c r="D145" s="282"/>
      <c r="E145" s="284"/>
      <c r="F145" s="285"/>
      <c r="G145" s="282"/>
      <c r="H145" s="286"/>
      <c r="I145" s="256"/>
      <c r="J145" s="256"/>
    </row>
    <row r="146" spans="1:10" ht="12.75" outlineLevel="1">
      <c r="A146" s="307">
        <v>49034</v>
      </c>
      <c r="B146" s="282">
        <f>A146-A139</f>
        <v>90</v>
      </c>
      <c r="C146" s="282">
        <f>C145-D146</f>
        <v>0</v>
      </c>
      <c r="D146" s="282"/>
      <c r="E146" s="308">
        <f>$E$11+$E$12</f>
        <v>0.0664</v>
      </c>
      <c r="F146" s="285">
        <f>B146*C145*E146/I146</f>
        <v>0</v>
      </c>
      <c r="G146" s="282"/>
      <c r="H146" s="286"/>
      <c r="I146" s="256">
        <v>365</v>
      </c>
      <c r="J146" s="256"/>
    </row>
    <row r="147" spans="1:10" ht="12.75" outlineLevel="1">
      <c r="A147" s="307">
        <v>49125</v>
      </c>
      <c r="B147" s="282">
        <f>A147-A146</f>
        <v>91</v>
      </c>
      <c r="C147" s="282">
        <f>C146-D147</f>
        <v>0</v>
      </c>
      <c r="D147" s="282"/>
      <c r="E147" s="308">
        <f>$E$11+$E$12</f>
        <v>0.0664</v>
      </c>
      <c r="F147" s="285">
        <f>B147*C146*E147/I147</f>
        <v>0</v>
      </c>
      <c r="G147" s="282"/>
      <c r="H147" s="286"/>
      <c r="I147" s="256">
        <v>365</v>
      </c>
      <c r="J147" s="256"/>
    </row>
    <row r="148" spans="1:10" ht="12.75" outlineLevel="1">
      <c r="A148" s="307">
        <v>49217</v>
      </c>
      <c r="B148" s="282">
        <f>A148-A147</f>
        <v>92</v>
      </c>
      <c r="C148" s="282">
        <f>C147-D148</f>
        <v>0</v>
      </c>
      <c r="D148" s="282"/>
      <c r="E148" s="308">
        <f>$E$11+$E$12</f>
        <v>0.0664</v>
      </c>
      <c r="F148" s="285">
        <f>B148*C147*E148/I148</f>
        <v>0</v>
      </c>
      <c r="G148" s="282"/>
      <c r="H148" s="286"/>
      <c r="I148" s="256">
        <v>365</v>
      </c>
      <c r="J148" s="256"/>
    </row>
    <row r="149" spans="1:10" ht="12.75" outlineLevel="1">
      <c r="A149" s="307">
        <v>49309</v>
      </c>
      <c r="B149" s="282">
        <f>A149-A148</f>
        <v>92</v>
      </c>
      <c r="C149" s="282">
        <f>C148-D149</f>
        <v>0</v>
      </c>
      <c r="D149" s="282"/>
      <c r="E149" s="308">
        <f>$E$11+$E$12</f>
        <v>0.0664</v>
      </c>
      <c r="F149" s="285">
        <f>B149*C148*E149/I149</f>
        <v>0</v>
      </c>
      <c r="G149" s="282"/>
      <c r="H149" s="286"/>
      <c r="I149" s="256">
        <v>365</v>
      </c>
      <c r="J149" s="256"/>
    </row>
    <row r="150" spans="1:10" ht="12.75" outlineLevel="1">
      <c r="A150" s="309"/>
      <c r="B150" s="288"/>
      <c r="C150" s="288">
        <f>C149</f>
        <v>0</v>
      </c>
      <c r="D150" s="288">
        <f>SUM(D146:D149)</f>
        <v>0</v>
      </c>
      <c r="E150" s="289"/>
      <c r="F150" s="274">
        <f>SUM(F146:F149)</f>
        <v>0</v>
      </c>
      <c r="G150" s="288"/>
      <c r="H150" s="290"/>
      <c r="I150" s="256"/>
      <c r="J150" s="256"/>
    </row>
    <row r="151" spans="1:10" ht="12.75" outlineLevel="1">
      <c r="A151" s="310"/>
      <c r="B151" s="311"/>
      <c r="C151" s="311"/>
      <c r="D151" s="311"/>
      <c r="E151" s="314"/>
      <c r="F151" s="315"/>
      <c r="G151" s="311"/>
      <c r="H151" s="313"/>
      <c r="I151" s="256"/>
      <c r="J151" s="256"/>
    </row>
    <row r="152" spans="1:10" ht="12.75" outlineLevel="1">
      <c r="A152" s="864" t="s">
        <v>113</v>
      </c>
      <c r="B152" s="864"/>
      <c r="C152" s="864"/>
      <c r="D152" s="864"/>
      <c r="E152" s="864"/>
      <c r="F152" s="864"/>
      <c r="G152" s="864"/>
      <c r="H152" s="864"/>
      <c r="I152" s="256"/>
      <c r="J152" s="256"/>
    </row>
    <row r="153" spans="1:10" ht="12.75" outlineLevel="1">
      <c r="A153" s="271"/>
      <c r="B153" s="272"/>
      <c r="C153" s="272"/>
      <c r="D153" s="272"/>
      <c r="E153" s="273"/>
      <c r="F153" s="274"/>
      <c r="G153" s="272"/>
      <c r="H153" s="275"/>
      <c r="I153" s="256"/>
      <c r="J153" s="256"/>
    </row>
    <row r="154" spans="1:10" ht="22.5" outlineLevel="1">
      <c r="A154" s="276" t="s">
        <v>114</v>
      </c>
      <c r="B154" s="277" t="s">
        <v>115</v>
      </c>
      <c r="C154" s="277" t="s">
        <v>116</v>
      </c>
      <c r="D154" s="277" t="s">
        <v>117</v>
      </c>
      <c r="E154" s="278" t="s">
        <v>118</v>
      </c>
      <c r="F154" s="279" t="s">
        <v>48</v>
      </c>
      <c r="G154" s="277"/>
      <c r="H154" s="280"/>
      <c r="I154" s="256"/>
      <c r="J154" s="256"/>
    </row>
    <row r="155" spans="1:10" ht="12.75" outlineLevel="1">
      <c r="A155" s="281" t="s">
        <v>209</v>
      </c>
      <c r="B155" s="282"/>
      <c r="C155" s="282">
        <f>C150</f>
        <v>0</v>
      </c>
      <c r="D155" s="282"/>
      <c r="E155" s="284"/>
      <c r="F155" s="285"/>
      <c r="G155" s="282"/>
      <c r="H155" s="286"/>
      <c r="I155" s="256"/>
      <c r="J155" s="256"/>
    </row>
    <row r="156" spans="1:10" ht="12.75" outlineLevel="1">
      <c r="A156" s="307">
        <v>49399</v>
      </c>
      <c r="B156" s="282">
        <f>A156-A149</f>
        <v>90</v>
      </c>
      <c r="C156" s="282">
        <f>C155-D156</f>
        <v>0</v>
      </c>
      <c r="D156" s="282"/>
      <c r="E156" s="308">
        <f>$E$11+$E$12</f>
        <v>0.0664</v>
      </c>
      <c r="F156" s="285">
        <f>B156*C155*E156/I156</f>
        <v>0</v>
      </c>
      <c r="G156" s="282"/>
      <c r="H156" s="286"/>
      <c r="I156" s="256">
        <v>365</v>
      </c>
      <c r="J156" s="256"/>
    </row>
    <row r="157" spans="1:10" ht="12.75" outlineLevel="1">
      <c r="A157" s="307">
        <v>49490</v>
      </c>
      <c r="B157" s="282">
        <f>A157-A156</f>
        <v>91</v>
      </c>
      <c r="C157" s="282">
        <f>C156-D157</f>
        <v>0</v>
      </c>
      <c r="D157" s="282"/>
      <c r="E157" s="308">
        <f>$E$11+$E$12</f>
        <v>0.0664</v>
      </c>
      <c r="F157" s="285">
        <f>B157*C156*E157/I157</f>
        <v>0</v>
      </c>
      <c r="G157" s="282"/>
      <c r="H157" s="286"/>
      <c r="I157" s="256">
        <v>365</v>
      </c>
      <c r="J157" s="256"/>
    </row>
    <row r="158" spans="1:10" ht="12.75" outlineLevel="1">
      <c r="A158" s="307">
        <v>49582</v>
      </c>
      <c r="B158" s="282">
        <f>A158-A157</f>
        <v>92</v>
      </c>
      <c r="C158" s="282">
        <f>C157-D158</f>
        <v>0</v>
      </c>
      <c r="D158" s="282"/>
      <c r="E158" s="308">
        <f>$E$11+$E$12</f>
        <v>0.0664</v>
      </c>
      <c r="F158" s="285">
        <f>B158*C157*E158/I158</f>
        <v>0</v>
      </c>
      <c r="G158" s="282"/>
      <c r="H158" s="286"/>
      <c r="I158" s="256">
        <v>365</v>
      </c>
      <c r="J158" s="256"/>
    </row>
    <row r="159" spans="1:10" ht="12.75" outlineLevel="1">
      <c r="A159" s="307">
        <v>49674</v>
      </c>
      <c r="B159" s="282">
        <f>A159-A158</f>
        <v>92</v>
      </c>
      <c r="C159" s="282">
        <f>C158-D159</f>
        <v>0</v>
      </c>
      <c r="D159" s="282"/>
      <c r="E159" s="308">
        <f>$E$11+$E$12</f>
        <v>0.0664</v>
      </c>
      <c r="F159" s="285">
        <f>B159*C158*E159/I159</f>
        <v>0</v>
      </c>
      <c r="G159" s="282"/>
      <c r="H159" s="286"/>
      <c r="I159" s="256">
        <v>365</v>
      </c>
      <c r="J159" s="256"/>
    </row>
    <row r="160" spans="1:10" ht="12.75" outlineLevel="1">
      <c r="A160" s="309"/>
      <c r="B160" s="288"/>
      <c r="C160" s="288">
        <f>C159</f>
        <v>0</v>
      </c>
      <c r="D160" s="288">
        <f>SUM(D156:D159)</f>
        <v>0</v>
      </c>
      <c r="E160" s="289"/>
      <c r="F160" s="274">
        <f>SUM(F156:F159)</f>
        <v>0</v>
      </c>
      <c r="G160" s="288"/>
      <c r="H160" s="290"/>
      <c r="I160" s="256"/>
      <c r="J160" s="256"/>
    </row>
    <row r="161" spans="1:10" ht="12.75" outlineLevel="1">
      <c r="A161" s="310"/>
      <c r="B161" s="311"/>
      <c r="C161" s="311"/>
      <c r="D161" s="311"/>
      <c r="E161" s="314"/>
      <c r="F161" s="315"/>
      <c r="G161" s="311"/>
      <c r="H161" s="313"/>
      <c r="I161" s="256"/>
      <c r="J161" s="256"/>
    </row>
    <row r="162" spans="1:10" ht="12.75" outlineLevel="1">
      <c r="A162" s="864" t="s">
        <v>113</v>
      </c>
      <c r="B162" s="864"/>
      <c r="C162" s="864"/>
      <c r="D162" s="864"/>
      <c r="E162" s="864"/>
      <c r="F162" s="864"/>
      <c r="G162" s="864"/>
      <c r="H162" s="864"/>
      <c r="I162" s="256"/>
      <c r="J162" s="256"/>
    </row>
    <row r="163" spans="1:10" ht="12.75" outlineLevel="1">
      <c r="A163" s="271"/>
      <c r="B163" s="272"/>
      <c r="C163" s="272"/>
      <c r="D163" s="272"/>
      <c r="E163" s="273"/>
      <c r="F163" s="274"/>
      <c r="G163" s="272"/>
      <c r="H163" s="275"/>
      <c r="I163" s="256"/>
      <c r="J163" s="256"/>
    </row>
    <row r="164" spans="1:10" ht="22.5" outlineLevel="1">
      <c r="A164" s="276" t="s">
        <v>114</v>
      </c>
      <c r="B164" s="277" t="s">
        <v>115</v>
      </c>
      <c r="C164" s="277" t="s">
        <v>116</v>
      </c>
      <c r="D164" s="277" t="s">
        <v>117</v>
      </c>
      <c r="E164" s="278" t="s">
        <v>118</v>
      </c>
      <c r="F164" s="279" t="s">
        <v>48</v>
      </c>
      <c r="G164" s="277"/>
      <c r="H164" s="280"/>
      <c r="I164" s="256"/>
      <c r="J164" s="256"/>
    </row>
    <row r="165" spans="1:10" ht="12.75" outlineLevel="1">
      <c r="A165" s="281">
        <v>2036</v>
      </c>
      <c r="B165" s="282"/>
      <c r="C165" s="282">
        <f>C160</f>
        <v>0</v>
      </c>
      <c r="D165" s="282"/>
      <c r="E165" s="284"/>
      <c r="F165" s="285"/>
      <c r="G165" s="282"/>
      <c r="H165" s="286"/>
      <c r="I165" s="256"/>
      <c r="J165" s="256"/>
    </row>
    <row r="166" spans="1:10" ht="12.75" outlineLevel="1">
      <c r="A166" s="307">
        <v>49765</v>
      </c>
      <c r="B166" s="282">
        <f>A166-A159</f>
        <v>91</v>
      </c>
      <c r="C166" s="282">
        <f>C165-D166</f>
        <v>0</v>
      </c>
      <c r="D166" s="282"/>
      <c r="E166" s="308">
        <f>$E$11+$E$12</f>
        <v>0.0664</v>
      </c>
      <c r="F166" s="285">
        <f>B166*C165*E166/I166</f>
        <v>0</v>
      </c>
      <c r="G166" s="282"/>
      <c r="H166" s="286"/>
      <c r="I166" s="256">
        <v>365</v>
      </c>
      <c r="J166" s="256"/>
    </row>
    <row r="167" spans="1:10" ht="12.75" outlineLevel="1">
      <c r="A167" s="307">
        <v>49856</v>
      </c>
      <c r="B167" s="282">
        <f>A167-A166</f>
        <v>91</v>
      </c>
      <c r="C167" s="282">
        <f>C166-D167</f>
        <v>0</v>
      </c>
      <c r="D167" s="282"/>
      <c r="E167" s="308">
        <f>$E$11+$E$12</f>
        <v>0.0664</v>
      </c>
      <c r="F167" s="285">
        <f>B167*C166*E167/I167</f>
        <v>0</v>
      </c>
      <c r="G167" s="282"/>
      <c r="H167" s="286"/>
      <c r="I167" s="256">
        <v>365</v>
      </c>
      <c r="J167" s="256"/>
    </row>
    <row r="168" spans="1:10" ht="12.75" outlineLevel="1">
      <c r="A168" s="307">
        <v>49948</v>
      </c>
      <c r="B168" s="282">
        <f>A168-A167</f>
        <v>92</v>
      </c>
      <c r="C168" s="282">
        <f>C167-D168</f>
        <v>0</v>
      </c>
      <c r="D168" s="282"/>
      <c r="E168" s="308">
        <f>$E$11+$E$12</f>
        <v>0.0664</v>
      </c>
      <c r="F168" s="285">
        <f>B168*C167*E168/I168</f>
        <v>0</v>
      </c>
      <c r="G168" s="282"/>
      <c r="H168" s="286"/>
      <c r="I168" s="256">
        <v>365</v>
      </c>
      <c r="J168" s="256"/>
    </row>
    <row r="169" spans="1:10" ht="12.75" outlineLevel="1">
      <c r="A169" s="307">
        <v>50040</v>
      </c>
      <c r="B169" s="282">
        <f>A169-A168</f>
        <v>92</v>
      </c>
      <c r="C169" s="282">
        <f>C168-D169</f>
        <v>0</v>
      </c>
      <c r="D169" s="282"/>
      <c r="E169" s="308">
        <f>$E$11+$E$12</f>
        <v>0.0664</v>
      </c>
      <c r="F169" s="285">
        <f>B169*C168*E169/I169</f>
        <v>0</v>
      </c>
      <c r="G169" s="282"/>
      <c r="H169" s="286"/>
      <c r="I169" s="256">
        <v>365</v>
      </c>
      <c r="J169" s="256"/>
    </row>
    <row r="170" spans="1:10" ht="12.75" outlineLevel="1">
      <c r="A170" s="309"/>
      <c r="B170" s="288"/>
      <c r="C170" s="288">
        <f>C169</f>
        <v>0</v>
      </c>
      <c r="D170" s="288">
        <f>SUM(D166:D169)</f>
        <v>0</v>
      </c>
      <c r="E170" s="289"/>
      <c r="F170" s="274">
        <f>SUM(F166:F169)</f>
        <v>0</v>
      </c>
      <c r="G170" s="288"/>
      <c r="H170" s="290"/>
      <c r="I170" s="256"/>
      <c r="J170" s="256"/>
    </row>
    <row r="171" spans="1:10" ht="12.75" outlineLevel="1">
      <c r="A171" s="310"/>
      <c r="B171" s="311"/>
      <c r="C171" s="311"/>
      <c r="D171" s="311"/>
      <c r="E171" s="314"/>
      <c r="F171" s="315"/>
      <c r="G171" s="311"/>
      <c r="H171" s="313"/>
      <c r="I171" s="256"/>
      <c r="J171" s="256"/>
    </row>
    <row r="172" spans="1:10" ht="12.75" outlineLevel="1">
      <c r="A172" s="864" t="s">
        <v>113</v>
      </c>
      <c r="B172" s="864"/>
      <c r="C172" s="864"/>
      <c r="D172" s="864"/>
      <c r="E172" s="864"/>
      <c r="F172" s="864"/>
      <c r="G172" s="864"/>
      <c r="H172" s="864"/>
      <c r="I172" s="256"/>
      <c r="J172" s="256"/>
    </row>
    <row r="173" spans="1:10" ht="12.75" outlineLevel="1">
      <c r="A173" s="271"/>
      <c r="B173" s="272"/>
      <c r="C173" s="272"/>
      <c r="D173" s="272"/>
      <c r="E173" s="273"/>
      <c r="F173" s="274"/>
      <c r="G173" s="272"/>
      <c r="H173" s="275"/>
      <c r="I173" s="256"/>
      <c r="J173" s="256"/>
    </row>
    <row r="174" spans="1:10" ht="22.5" outlineLevel="1">
      <c r="A174" s="276" t="s">
        <v>114</v>
      </c>
      <c r="B174" s="277" t="s">
        <v>115</v>
      </c>
      <c r="C174" s="277" t="s">
        <v>116</v>
      </c>
      <c r="D174" s="277" t="s">
        <v>117</v>
      </c>
      <c r="E174" s="278" t="s">
        <v>118</v>
      </c>
      <c r="F174" s="279" t="s">
        <v>48</v>
      </c>
      <c r="G174" s="277"/>
      <c r="H174" s="280"/>
      <c r="I174" s="256"/>
      <c r="J174" s="256"/>
    </row>
    <row r="175" spans="1:10" ht="12.75" outlineLevel="1">
      <c r="A175" s="281" t="s">
        <v>135</v>
      </c>
      <c r="B175" s="282"/>
      <c r="C175" s="282">
        <f>C170</f>
        <v>0</v>
      </c>
      <c r="D175" s="282"/>
      <c r="E175" s="284"/>
      <c r="F175" s="285"/>
      <c r="G175" s="282"/>
      <c r="H175" s="286"/>
      <c r="I175" s="256"/>
      <c r="J175" s="256"/>
    </row>
    <row r="176" spans="1:10" ht="12.75" outlineLevel="1">
      <c r="A176" s="307">
        <v>50130</v>
      </c>
      <c r="B176" s="282">
        <v>90</v>
      </c>
      <c r="C176" s="282">
        <f>C175-D176</f>
        <v>0</v>
      </c>
      <c r="D176" s="282"/>
      <c r="E176" s="308">
        <f>$E$11+$E$12</f>
        <v>0.0664</v>
      </c>
      <c r="F176" s="285">
        <f>B176*C175*E176/I176</f>
        <v>0</v>
      </c>
      <c r="G176" s="282"/>
      <c r="H176" s="286"/>
      <c r="I176" s="256">
        <v>365</v>
      </c>
      <c r="J176" s="256"/>
    </row>
    <row r="177" spans="1:10" ht="12.75" outlineLevel="1">
      <c r="A177" s="307">
        <v>50221</v>
      </c>
      <c r="B177" s="282">
        <f>A177-A176</f>
        <v>91</v>
      </c>
      <c r="C177" s="282">
        <f>C176-D177</f>
        <v>0</v>
      </c>
      <c r="D177" s="282"/>
      <c r="E177" s="308">
        <f>$E$11+$E$12</f>
        <v>0.0664</v>
      </c>
      <c r="F177" s="285">
        <f>B177*C176*E177/I177</f>
        <v>0</v>
      </c>
      <c r="G177" s="282"/>
      <c r="H177" s="286"/>
      <c r="I177" s="256">
        <v>365</v>
      </c>
      <c r="J177" s="256"/>
    </row>
    <row r="178" spans="1:10" ht="12.75" outlineLevel="1">
      <c r="A178" s="307">
        <v>50313</v>
      </c>
      <c r="B178" s="282">
        <f>A178-A177</f>
        <v>92</v>
      </c>
      <c r="C178" s="282">
        <f>C177-D178</f>
        <v>0</v>
      </c>
      <c r="D178" s="282"/>
      <c r="E178" s="308">
        <f>$E$11+$E$12</f>
        <v>0.0664</v>
      </c>
      <c r="F178" s="285">
        <f>B178*C177*E178/I178</f>
        <v>0</v>
      </c>
      <c r="G178" s="282"/>
      <c r="H178" s="286"/>
      <c r="I178" s="256">
        <v>365</v>
      </c>
      <c r="J178" s="256"/>
    </row>
    <row r="179" spans="1:10" ht="12.75" outlineLevel="1">
      <c r="A179" s="307">
        <v>50405</v>
      </c>
      <c r="B179" s="282">
        <f>A179-A178</f>
        <v>92</v>
      </c>
      <c r="C179" s="282">
        <f>C178-D179</f>
        <v>0</v>
      </c>
      <c r="D179" s="282"/>
      <c r="E179" s="308">
        <f>$E$11+$E$12</f>
        <v>0.0664</v>
      </c>
      <c r="F179" s="285">
        <f>B179*C178*E179/I179</f>
        <v>0</v>
      </c>
      <c r="G179" s="282"/>
      <c r="H179" s="286"/>
      <c r="I179" s="256">
        <v>365</v>
      </c>
      <c r="J179" s="256"/>
    </row>
    <row r="180" spans="1:10" ht="12.75" outlineLevel="1">
      <c r="A180" s="309"/>
      <c r="B180" s="288"/>
      <c r="C180" s="288">
        <f>C179</f>
        <v>0</v>
      </c>
      <c r="D180" s="288">
        <f>SUM(D176:D179)</f>
        <v>0</v>
      </c>
      <c r="E180" s="289"/>
      <c r="F180" s="274">
        <f>SUM(F176:F179)</f>
        <v>0</v>
      </c>
      <c r="G180" s="288"/>
      <c r="H180" s="290"/>
      <c r="I180" s="256"/>
      <c r="J180" s="256"/>
    </row>
    <row r="181" spans="1:10" ht="12.75" outlineLevel="1">
      <c r="A181" s="256"/>
      <c r="B181" s="255"/>
      <c r="C181" s="255"/>
      <c r="D181" s="255"/>
      <c r="E181" s="257"/>
      <c r="F181" s="258"/>
      <c r="G181" s="255"/>
      <c r="H181" s="255"/>
      <c r="I181" s="256"/>
      <c r="J181" s="256"/>
    </row>
    <row r="182" spans="1:9" ht="12.75" outlineLevel="1">
      <c r="A182" s="864" t="s">
        <v>113</v>
      </c>
      <c r="B182" s="864"/>
      <c r="C182" s="864"/>
      <c r="D182" s="864"/>
      <c r="E182" s="864"/>
      <c r="F182" s="864"/>
      <c r="G182" s="864"/>
      <c r="H182" s="864"/>
      <c r="I182" s="256"/>
    </row>
    <row r="183" spans="1:9" ht="12.75" outlineLevel="1">
      <c r="A183" s="271"/>
      <c r="B183" s="272"/>
      <c r="C183" s="272"/>
      <c r="D183" s="272"/>
      <c r="E183" s="273"/>
      <c r="F183" s="274"/>
      <c r="G183" s="272"/>
      <c r="H183" s="275"/>
      <c r="I183" s="256"/>
    </row>
    <row r="184" spans="1:9" ht="22.5" outlineLevel="1">
      <c r="A184" s="276" t="s">
        <v>114</v>
      </c>
      <c r="B184" s="277" t="s">
        <v>115</v>
      </c>
      <c r="C184" s="277" t="s">
        <v>116</v>
      </c>
      <c r="D184" s="277" t="s">
        <v>117</v>
      </c>
      <c r="E184" s="278" t="s">
        <v>118</v>
      </c>
      <c r="F184" s="279" t="s">
        <v>48</v>
      </c>
      <c r="G184" s="277"/>
      <c r="H184" s="280"/>
      <c r="I184" s="256"/>
    </row>
    <row r="185" spans="1:9" ht="12.75" outlineLevel="1">
      <c r="A185" s="281" t="s">
        <v>136</v>
      </c>
      <c r="B185" s="282"/>
      <c r="C185" s="282">
        <f>C180</f>
        <v>0</v>
      </c>
      <c r="D185" s="282"/>
      <c r="E185" s="284"/>
      <c r="F185" s="285"/>
      <c r="G185" s="282"/>
      <c r="H185" s="286"/>
      <c r="I185" s="256"/>
    </row>
    <row r="186" spans="1:9" ht="12.75" outlineLevel="1">
      <c r="A186" s="307">
        <v>50495</v>
      </c>
      <c r="B186" s="282">
        <f>A186-A179</f>
        <v>90</v>
      </c>
      <c r="C186" s="282">
        <f>C185-D186</f>
        <v>0</v>
      </c>
      <c r="D186" s="282"/>
      <c r="E186" s="308">
        <f>$E$11+$E$12</f>
        <v>0.0664</v>
      </c>
      <c r="F186" s="285">
        <f>B186*C185*E186/I186</f>
        <v>0</v>
      </c>
      <c r="G186" s="282"/>
      <c r="H186" s="286"/>
      <c r="I186" s="256">
        <v>365</v>
      </c>
    </row>
    <row r="187" spans="1:9" ht="12.75" outlineLevel="1">
      <c r="A187" s="307">
        <v>50586</v>
      </c>
      <c r="B187" s="282">
        <f>A187-A186</f>
        <v>91</v>
      </c>
      <c r="C187" s="282">
        <f>C186-D187</f>
        <v>0</v>
      </c>
      <c r="D187" s="282"/>
      <c r="E187" s="308">
        <f>$E$11+$E$12</f>
        <v>0.0664</v>
      </c>
      <c r="F187" s="285">
        <f>B187*C186*E187/I187</f>
        <v>0</v>
      </c>
      <c r="G187" s="282"/>
      <c r="H187" s="286"/>
      <c r="I187" s="256">
        <v>365</v>
      </c>
    </row>
    <row r="188" spans="1:10" ht="12.75" outlineLevel="1">
      <c r="A188" s="307">
        <v>50678</v>
      </c>
      <c r="B188" s="282">
        <f>A188-A187</f>
        <v>92</v>
      </c>
      <c r="C188" s="282">
        <f>C187-D188</f>
        <v>0</v>
      </c>
      <c r="D188" s="282"/>
      <c r="E188" s="308">
        <f>$E$11+$E$12</f>
        <v>0.0664</v>
      </c>
      <c r="F188" s="285">
        <f>B188*C187*E188/I188</f>
        <v>0</v>
      </c>
      <c r="G188" s="282"/>
      <c r="H188" s="286"/>
      <c r="I188" s="256">
        <v>365</v>
      </c>
      <c r="J188" s="256"/>
    </row>
    <row r="189" spans="1:10" ht="12.75" outlineLevel="1">
      <c r="A189" s="307">
        <v>50770</v>
      </c>
      <c r="B189" s="282">
        <f>A189-A188</f>
        <v>92</v>
      </c>
      <c r="C189" s="282">
        <f>C188-D189</f>
        <v>0</v>
      </c>
      <c r="D189" s="282"/>
      <c r="E189" s="308">
        <f>$E$11+$E$12</f>
        <v>0.0664</v>
      </c>
      <c r="F189" s="285">
        <f>B189*C188*E189/I189</f>
        <v>0</v>
      </c>
      <c r="G189" s="282"/>
      <c r="H189" s="286"/>
      <c r="I189" s="256">
        <v>365</v>
      </c>
      <c r="J189" s="256"/>
    </row>
    <row r="190" spans="1:9" ht="12.75" outlineLevel="1">
      <c r="A190" s="309"/>
      <c r="B190" s="288"/>
      <c r="C190" s="288">
        <f>C189</f>
        <v>0</v>
      </c>
      <c r="D190" s="288">
        <f>SUM(D186:D189)</f>
        <v>0</v>
      </c>
      <c r="E190" s="289"/>
      <c r="F190" s="274">
        <f>SUM(F186:F189)</f>
        <v>0</v>
      </c>
      <c r="G190" s="288"/>
      <c r="H190" s="290"/>
      <c r="I190" s="256"/>
    </row>
    <row r="191" ht="12.75" outlineLevel="1"/>
    <row r="192" spans="1:9" ht="12.75" outlineLevel="1">
      <c r="A192" s="864" t="s">
        <v>113</v>
      </c>
      <c r="B192" s="864"/>
      <c r="C192" s="864"/>
      <c r="D192" s="864"/>
      <c r="E192" s="864"/>
      <c r="F192" s="864"/>
      <c r="G192" s="864"/>
      <c r="H192" s="864"/>
      <c r="I192" s="256"/>
    </row>
    <row r="193" spans="1:9" ht="12.75" outlineLevel="1">
      <c r="A193" s="271"/>
      <c r="B193" s="272"/>
      <c r="C193" s="272"/>
      <c r="D193" s="272"/>
      <c r="E193" s="273"/>
      <c r="F193" s="274"/>
      <c r="G193" s="272"/>
      <c r="H193" s="275"/>
      <c r="I193" s="256"/>
    </row>
    <row r="194" spans="1:9" ht="22.5" outlineLevel="1">
      <c r="A194" s="276" t="s">
        <v>114</v>
      </c>
      <c r="B194" s="277" t="s">
        <v>115</v>
      </c>
      <c r="C194" s="277" t="s">
        <v>116</v>
      </c>
      <c r="D194" s="277" t="s">
        <v>117</v>
      </c>
      <c r="E194" s="278" t="s">
        <v>118</v>
      </c>
      <c r="F194" s="279" t="s">
        <v>48</v>
      </c>
      <c r="G194" s="277"/>
      <c r="H194" s="280"/>
      <c r="I194" s="256"/>
    </row>
    <row r="195" spans="1:9" ht="12.75" outlineLevel="1">
      <c r="A195" s="281" t="s">
        <v>137</v>
      </c>
      <c r="B195" s="282"/>
      <c r="C195" s="282">
        <f>C190</f>
        <v>0</v>
      </c>
      <c r="D195" s="282"/>
      <c r="E195" s="284"/>
      <c r="F195" s="285"/>
      <c r="G195" s="282"/>
      <c r="H195" s="286"/>
      <c r="I195" s="256"/>
    </row>
    <row r="196" spans="1:9" ht="12.75" outlineLevel="1">
      <c r="A196" s="307">
        <v>50860</v>
      </c>
      <c r="B196" s="282">
        <f>A196-A189</f>
        <v>90</v>
      </c>
      <c r="C196" s="282">
        <f>C195-D196</f>
        <v>0</v>
      </c>
      <c r="D196" s="282"/>
      <c r="E196" s="308">
        <f>$E$11+$E$12</f>
        <v>0.0664</v>
      </c>
      <c r="F196" s="285">
        <f>B196*C195*E196/I196</f>
        <v>0</v>
      </c>
      <c r="G196" s="282"/>
      <c r="H196" s="286"/>
      <c r="I196" s="256">
        <v>365</v>
      </c>
    </row>
    <row r="197" spans="1:9" ht="12.75" outlineLevel="1">
      <c r="A197" s="307">
        <v>50951</v>
      </c>
      <c r="B197" s="282">
        <f>A197-A196</f>
        <v>91</v>
      </c>
      <c r="C197" s="282">
        <f>C196-D197</f>
        <v>0</v>
      </c>
      <c r="D197" s="282"/>
      <c r="E197" s="308">
        <f>$E$11+$E$12</f>
        <v>0.0664</v>
      </c>
      <c r="F197" s="285">
        <f>B197*C196*E197/I197</f>
        <v>0</v>
      </c>
      <c r="G197" s="282"/>
      <c r="H197" s="286"/>
      <c r="I197" s="256">
        <v>365</v>
      </c>
    </row>
    <row r="198" spans="1:9" ht="12.75" outlineLevel="1">
      <c r="A198" s="307">
        <v>51043</v>
      </c>
      <c r="B198" s="282">
        <f>A198-A197</f>
        <v>92</v>
      </c>
      <c r="C198" s="282">
        <f>C197-D198</f>
        <v>0</v>
      </c>
      <c r="D198" s="282"/>
      <c r="E198" s="308">
        <f>$E$11+$E$12</f>
        <v>0.0664</v>
      </c>
      <c r="F198" s="285">
        <f>B198*C197*E198/I198</f>
        <v>0</v>
      </c>
      <c r="G198" s="282"/>
      <c r="H198" s="286"/>
      <c r="I198" s="256">
        <v>365</v>
      </c>
    </row>
    <row r="199" spans="1:9" ht="12.75" outlineLevel="1">
      <c r="A199" s="307">
        <v>51135</v>
      </c>
      <c r="B199" s="282">
        <f>A199-A198</f>
        <v>92</v>
      </c>
      <c r="C199" s="282">
        <f>C198-D199</f>
        <v>0</v>
      </c>
      <c r="D199" s="282"/>
      <c r="E199" s="308">
        <f>$E$11+$E$12</f>
        <v>0.0664</v>
      </c>
      <c r="F199" s="285">
        <f>B199*C198*E199/I199</f>
        <v>0</v>
      </c>
      <c r="G199" s="282"/>
      <c r="H199" s="286"/>
      <c r="I199" s="256">
        <v>365</v>
      </c>
    </row>
    <row r="200" spans="1:9" ht="12.75" outlineLevel="1">
      <c r="A200" s="309"/>
      <c r="B200" s="288"/>
      <c r="C200" s="288">
        <f>C199</f>
        <v>0</v>
      </c>
      <c r="D200" s="288">
        <f>SUM(D196:D199)</f>
        <v>0</v>
      </c>
      <c r="E200" s="289"/>
      <c r="F200" s="274">
        <f>SUM(F196:F199)</f>
        <v>0</v>
      </c>
      <c r="G200" s="288"/>
      <c r="H200" s="290"/>
      <c r="I200" s="256"/>
    </row>
    <row r="201" ht="12.75" outlineLevel="1"/>
    <row r="202" spans="1:9" ht="12.75" outlineLevel="1">
      <c r="A202" s="864" t="s">
        <v>113</v>
      </c>
      <c r="B202" s="864"/>
      <c r="C202" s="864"/>
      <c r="D202" s="864"/>
      <c r="E202" s="864"/>
      <c r="F202" s="864"/>
      <c r="G202" s="864"/>
      <c r="H202" s="864"/>
      <c r="I202" s="256"/>
    </row>
    <row r="203" spans="1:9" ht="12.75" outlineLevel="1">
      <c r="A203" s="271"/>
      <c r="B203" s="272"/>
      <c r="C203" s="272"/>
      <c r="D203" s="272"/>
      <c r="E203" s="273"/>
      <c r="F203" s="274"/>
      <c r="G203" s="272"/>
      <c r="H203" s="275"/>
      <c r="I203" s="256"/>
    </row>
    <row r="204" spans="1:9" ht="22.5" outlineLevel="1">
      <c r="A204" s="276" t="s">
        <v>114</v>
      </c>
      <c r="B204" s="277" t="s">
        <v>115</v>
      </c>
      <c r="C204" s="277" t="s">
        <v>116</v>
      </c>
      <c r="D204" s="277" t="s">
        <v>117</v>
      </c>
      <c r="E204" s="278" t="s">
        <v>118</v>
      </c>
      <c r="F204" s="279" t="s">
        <v>48</v>
      </c>
      <c r="G204" s="277"/>
      <c r="H204" s="280"/>
      <c r="I204" s="256"/>
    </row>
    <row r="205" spans="1:9" ht="12.75" outlineLevel="1">
      <c r="A205" s="281" t="s">
        <v>138</v>
      </c>
      <c r="B205" s="282"/>
      <c r="C205" s="282">
        <f>C200</f>
        <v>0</v>
      </c>
      <c r="D205" s="282"/>
      <c r="E205" s="284"/>
      <c r="F205" s="285"/>
      <c r="G205" s="282"/>
      <c r="H205" s="286"/>
      <c r="I205" s="256"/>
    </row>
    <row r="206" spans="1:10" ht="12.75" outlineLevel="1">
      <c r="A206" s="307">
        <v>51226</v>
      </c>
      <c r="B206" s="282">
        <f>A206-A199</f>
        <v>91</v>
      </c>
      <c r="C206" s="282">
        <f>C205-D206</f>
        <v>0</v>
      </c>
      <c r="D206" s="282"/>
      <c r="E206" s="308">
        <f>$E$11+$E$12</f>
        <v>0.0664</v>
      </c>
      <c r="F206" s="285">
        <f>B206*C205*E206/I206</f>
        <v>0</v>
      </c>
      <c r="G206" s="282"/>
      <c r="H206" s="286"/>
      <c r="I206" s="256">
        <v>365</v>
      </c>
      <c r="J206" s="256"/>
    </row>
    <row r="207" spans="1:10" ht="12.75" outlineLevel="1">
      <c r="A207" s="307">
        <v>51317</v>
      </c>
      <c r="B207" s="282">
        <f>A207-A206</f>
        <v>91</v>
      </c>
      <c r="C207" s="282">
        <f>C206-D207</f>
        <v>0</v>
      </c>
      <c r="D207" s="282"/>
      <c r="E207" s="308">
        <f>$E$11+$E$12</f>
        <v>0.0664</v>
      </c>
      <c r="F207" s="285">
        <f>B207*C206*E207/I207</f>
        <v>0</v>
      </c>
      <c r="G207" s="282"/>
      <c r="H207" s="286"/>
      <c r="I207" s="256">
        <v>365</v>
      </c>
      <c r="J207" s="256"/>
    </row>
    <row r="208" spans="1:10" ht="12.75" outlineLevel="1">
      <c r="A208" s="307">
        <v>51409</v>
      </c>
      <c r="B208" s="282">
        <f>A208-A207</f>
        <v>92</v>
      </c>
      <c r="C208" s="282">
        <f>C207-D208</f>
        <v>0</v>
      </c>
      <c r="D208" s="282"/>
      <c r="E208" s="308">
        <f>$E$11+$E$12</f>
        <v>0.0664</v>
      </c>
      <c r="F208" s="285">
        <f>B208*C207*E208/I208</f>
        <v>0</v>
      </c>
      <c r="G208" s="282"/>
      <c r="H208" s="286"/>
      <c r="I208" s="256">
        <v>365</v>
      </c>
      <c r="J208" s="256"/>
    </row>
    <row r="209" spans="1:10" ht="12.75" outlineLevel="1">
      <c r="A209" s="307">
        <v>51501</v>
      </c>
      <c r="B209" s="282">
        <f>A209-A208</f>
        <v>92</v>
      </c>
      <c r="C209" s="282">
        <f>C208-D209</f>
        <v>0</v>
      </c>
      <c r="D209" s="282"/>
      <c r="E209" s="308">
        <f>$E$11+$E$12</f>
        <v>0.0664</v>
      </c>
      <c r="F209" s="285">
        <f>B209*C208*E209/I209</f>
        <v>0</v>
      </c>
      <c r="G209" s="282"/>
      <c r="H209" s="286"/>
      <c r="I209" s="256">
        <v>365</v>
      </c>
      <c r="J209" s="256"/>
    </row>
    <row r="210" spans="1:10" ht="12.75" outlineLevel="1">
      <c r="A210" s="309"/>
      <c r="B210" s="288"/>
      <c r="C210" s="288">
        <f>C209</f>
        <v>0</v>
      </c>
      <c r="D210" s="288">
        <f>SUM(D205:D209)</f>
        <v>0</v>
      </c>
      <c r="E210" s="289"/>
      <c r="F210" s="274">
        <f>SUM(F206:F209)</f>
        <v>0</v>
      </c>
      <c r="G210" s="288"/>
      <c r="H210" s="290"/>
      <c r="I210" s="256"/>
      <c r="J210" s="256"/>
    </row>
    <row r="211" spans="1:10" ht="12.75" outlineLevel="1">
      <c r="A211" s="256"/>
      <c r="B211" s="255"/>
      <c r="G211" s="255"/>
      <c r="H211" s="255"/>
      <c r="I211" s="256"/>
      <c r="J211" s="256"/>
    </row>
    <row r="212" spans="1:9" ht="12.75" outlineLevel="1">
      <c r="A212" s="864" t="s">
        <v>113</v>
      </c>
      <c r="B212" s="864"/>
      <c r="C212" s="864"/>
      <c r="D212" s="864"/>
      <c r="E212" s="864"/>
      <c r="F212" s="864"/>
      <c r="G212" s="864"/>
      <c r="H212" s="864"/>
      <c r="I212" s="256"/>
    </row>
    <row r="213" spans="1:9" ht="12.75" outlineLevel="1">
      <c r="A213" s="271"/>
      <c r="B213" s="272"/>
      <c r="C213" s="272"/>
      <c r="D213" s="272"/>
      <c r="E213" s="273"/>
      <c r="F213" s="274"/>
      <c r="G213" s="272"/>
      <c r="H213" s="275"/>
      <c r="I213" s="256"/>
    </row>
    <row r="214" spans="1:9" ht="22.5" outlineLevel="1">
      <c r="A214" s="276" t="s">
        <v>114</v>
      </c>
      <c r="B214" s="277" t="s">
        <v>115</v>
      </c>
      <c r="C214" s="277" t="s">
        <v>116</v>
      </c>
      <c r="D214" s="277" t="s">
        <v>117</v>
      </c>
      <c r="E214" s="278" t="s">
        <v>118</v>
      </c>
      <c r="F214" s="279" t="s">
        <v>48</v>
      </c>
      <c r="G214" s="277"/>
      <c r="H214" s="280"/>
      <c r="I214" s="256"/>
    </row>
    <row r="215" spans="1:9" ht="12.75" outlineLevel="1">
      <c r="A215" s="281" t="s">
        <v>139</v>
      </c>
      <c r="B215" s="282"/>
      <c r="C215" s="282">
        <f>C210</f>
        <v>0</v>
      </c>
      <c r="D215" s="282"/>
      <c r="E215" s="284"/>
      <c r="F215" s="285"/>
      <c r="G215" s="282"/>
      <c r="H215" s="286"/>
      <c r="I215" s="256"/>
    </row>
    <row r="216" spans="1:9" ht="12.75" outlineLevel="1">
      <c r="A216" s="307">
        <v>51591</v>
      </c>
      <c r="B216" s="282">
        <v>90</v>
      </c>
      <c r="C216" s="282">
        <f>C215-D216</f>
        <v>0</v>
      </c>
      <c r="D216" s="282"/>
      <c r="E216" s="308">
        <f>$E$11+$E$12</f>
        <v>0.0664</v>
      </c>
      <c r="F216" s="285">
        <f>B216*C215*E216/I216</f>
        <v>0</v>
      </c>
      <c r="G216" s="282"/>
      <c r="H216" s="286"/>
      <c r="I216" s="256">
        <v>365</v>
      </c>
    </row>
    <row r="217" spans="1:9" ht="12.75" outlineLevel="1">
      <c r="A217" s="307">
        <v>51682</v>
      </c>
      <c r="B217" s="282">
        <f>A217-A216</f>
        <v>91</v>
      </c>
      <c r="C217" s="282">
        <f>C216-D217</f>
        <v>0</v>
      </c>
      <c r="D217" s="282"/>
      <c r="E217" s="308">
        <f>$E$11+$E$12</f>
        <v>0.0664</v>
      </c>
      <c r="F217" s="285">
        <f>B217*C216*E217/I217</f>
        <v>0</v>
      </c>
      <c r="G217" s="282"/>
      <c r="H217" s="286"/>
      <c r="I217" s="256">
        <v>365</v>
      </c>
    </row>
    <row r="218" spans="1:9" ht="12.75" outlineLevel="1">
      <c r="A218" s="307">
        <v>51774</v>
      </c>
      <c r="B218" s="282">
        <f>A218-A217</f>
        <v>92</v>
      </c>
      <c r="C218" s="282">
        <f>C217-D218</f>
        <v>0</v>
      </c>
      <c r="D218" s="282"/>
      <c r="E218" s="308">
        <f>$E$11+$E$12</f>
        <v>0.0664</v>
      </c>
      <c r="F218" s="285">
        <f>B218*C217*E218/I218</f>
        <v>0</v>
      </c>
      <c r="G218" s="282"/>
      <c r="H218" s="286"/>
      <c r="I218" s="256">
        <v>365</v>
      </c>
    </row>
    <row r="219" spans="1:9" ht="12.75" outlineLevel="1">
      <c r="A219" s="307">
        <v>51866</v>
      </c>
      <c r="B219" s="282">
        <f>A219-A218</f>
        <v>92</v>
      </c>
      <c r="C219" s="282">
        <f>C218-D219</f>
        <v>0</v>
      </c>
      <c r="D219" s="282"/>
      <c r="E219" s="308">
        <f>$E$11+$E$12</f>
        <v>0.0664</v>
      </c>
      <c r="F219" s="285">
        <f>B219*C218*E219/I219</f>
        <v>0</v>
      </c>
      <c r="G219" s="282"/>
      <c r="H219" s="286"/>
      <c r="I219" s="256">
        <v>365</v>
      </c>
    </row>
    <row r="220" spans="1:9" ht="12.75" outlineLevel="1">
      <c r="A220" s="309"/>
      <c r="B220" s="288"/>
      <c r="C220" s="288">
        <f>C219</f>
        <v>0</v>
      </c>
      <c r="D220" s="288">
        <f>SUM(D216:D219)</f>
        <v>0</v>
      </c>
      <c r="E220" s="289"/>
      <c r="F220" s="274">
        <f>SUM(F216:F219)</f>
        <v>0</v>
      </c>
      <c r="G220" s="288"/>
      <c r="H220" s="290"/>
      <c r="I220" s="256"/>
    </row>
    <row r="221" ht="12.75" outlineLevel="1"/>
    <row r="222" spans="1:9" ht="12.75" outlineLevel="1">
      <c r="A222" s="864" t="s">
        <v>113</v>
      </c>
      <c r="B222" s="864"/>
      <c r="C222" s="864"/>
      <c r="D222" s="864"/>
      <c r="E222" s="864"/>
      <c r="F222" s="864"/>
      <c r="G222" s="864"/>
      <c r="H222" s="864"/>
      <c r="I222" s="256"/>
    </row>
    <row r="223" spans="1:9" ht="12.75" outlineLevel="1">
      <c r="A223" s="271"/>
      <c r="B223" s="272"/>
      <c r="C223" s="272"/>
      <c r="D223" s="272"/>
      <c r="E223" s="273"/>
      <c r="F223" s="274"/>
      <c r="G223" s="272"/>
      <c r="H223" s="275"/>
      <c r="I223" s="256"/>
    </row>
    <row r="224" spans="1:9" ht="22.5" outlineLevel="1">
      <c r="A224" s="659" t="s">
        <v>114</v>
      </c>
      <c r="B224" s="660" t="s">
        <v>115</v>
      </c>
      <c r="C224" s="660" t="s">
        <v>116</v>
      </c>
      <c r="D224" s="660" t="s">
        <v>117</v>
      </c>
      <c r="E224" s="661" t="s">
        <v>118</v>
      </c>
      <c r="F224" s="662" t="s">
        <v>48</v>
      </c>
      <c r="G224" s="660"/>
      <c r="H224" s="663"/>
      <c r="I224" s="664"/>
    </row>
    <row r="225" spans="1:9" ht="12.75" outlineLevel="1">
      <c r="A225" s="665" t="s">
        <v>210</v>
      </c>
      <c r="B225" s="666"/>
      <c r="C225" s="666">
        <f>C220</f>
        <v>0</v>
      </c>
      <c r="D225" s="666"/>
      <c r="E225" s="667"/>
      <c r="F225" s="668"/>
      <c r="G225" s="666"/>
      <c r="H225" s="669"/>
      <c r="I225" s="664"/>
    </row>
    <row r="226" spans="1:9" ht="12.75" outlineLevel="1">
      <c r="A226" s="670">
        <v>51928</v>
      </c>
      <c r="B226" s="666">
        <f>A226-A219</f>
        <v>62</v>
      </c>
      <c r="C226" s="666">
        <f>C225-D226</f>
        <v>0</v>
      </c>
      <c r="D226" s="282"/>
      <c r="E226" s="671">
        <f>$E$11+$E$12</f>
        <v>0.0664</v>
      </c>
      <c r="F226" s="668">
        <f>B226*C225*E226/I226</f>
        <v>0</v>
      </c>
      <c r="G226" s="666"/>
      <c r="H226" s="669"/>
      <c r="I226" s="664">
        <v>365</v>
      </c>
    </row>
    <row r="227" spans="1:9" ht="12.75" outlineLevel="1">
      <c r="A227" s="670">
        <v>52047</v>
      </c>
      <c r="B227" s="666">
        <f>A227-A226</f>
        <v>119</v>
      </c>
      <c r="C227" s="666">
        <f>C226-D227</f>
        <v>0</v>
      </c>
      <c r="D227" s="282"/>
      <c r="E227" s="671">
        <f>$E$11+$E$12</f>
        <v>0.0664</v>
      </c>
      <c r="F227" s="668">
        <f>B227*C226*E227/I227</f>
        <v>0</v>
      </c>
      <c r="G227" s="666"/>
      <c r="H227" s="669"/>
      <c r="I227" s="664">
        <v>365</v>
      </c>
    </row>
    <row r="228" spans="1:9" ht="12.75" outlineLevel="1">
      <c r="A228" s="670">
        <v>52139</v>
      </c>
      <c r="B228" s="666">
        <f>A228-A227</f>
        <v>92</v>
      </c>
      <c r="C228" s="666">
        <f>C227-D228</f>
        <v>0</v>
      </c>
      <c r="D228" s="282"/>
      <c r="E228" s="671">
        <f>$E$11+$E$12</f>
        <v>0.0664</v>
      </c>
      <c r="F228" s="668">
        <f>B228*C227*E228/I228</f>
        <v>0</v>
      </c>
      <c r="G228" s="666"/>
      <c r="H228" s="669"/>
      <c r="I228" s="664">
        <v>365</v>
      </c>
    </row>
    <row r="229" spans="1:9" ht="12.75" outlineLevel="1">
      <c r="A229" s="670">
        <v>52231</v>
      </c>
      <c r="B229" s="666">
        <f>A229-A228</f>
        <v>92</v>
      </c>
      <c r="C229" s="666">
        <f>C228-D229</f>
        <v>0</v>
      </c>
      <c r="D229" s="282"/>
      <c r="E229" s="671">
        <f>$E$11+$E$12</f>
        <v>0.0664</v>
      </c>
      <c r="F229" s="668">
        <f>B229*C228*E229/I229</f>
        <v>0</v>
      </c>
      <c r="G229" s="666"/>
      <c r="H229" s="669"/>
      <c r="I229" s="664">
        <v>365</v>
      </c>
    </row>
    <row r="230" spans="1:9" ht="12.75" outlineLevel="1">
      <c r="A230" s="672"/>
      <c r="B230" s="673"/>
      <c r="C230" s="673">
        <f>C229</f>
        <v>0</v>
      </c>
      <c r="D230" s="673">
        <f>SUM(D226:D229)</f>
        <v>0</v>
      </c>
      <c r="E230" s="674"/>
      <c r="F230" s="675">
        <f>SUM(F226:F229)</f>
        <v>0</v>
      </c>
      <c r="G230" s="673"/>
      <c r="H230" s="676"/>
      <c r="I230" s="664"/>
    </row>
    <row r="231" spans="1:9" ht="12.75" outlineLevel="1">
      <c r="A231" s="677"/>
      <c r="B231" s="677"/>
      <c r="C231" s="677"/>
      <c r="D231" s="677"/>
      <c r="E231" s="677"/>
      <c r="F231" s="677"/>
      <c r="G231" s="677"/>
      <c r="H231" s="677"/>
      <c r="I231" s="677"/>
    </row>
    <row r="232" spans="1:9" ht="12.75" outlineLevel="1">
      <c r="A232" s="677"/>
      <c r="B232" s="677"/>
      <c r="C232" s="677"/>
      <c r="D232" s="677"/>
      <c r="E232" s="677"/>
      <c r="F232" s="677"/>
      <c r="G232" s="677"/>
      <c r="H232" s="677"/>
      <c r="I232" s="677"/>
    </row>
    <row r="234" spans="1:9" ht="22.5">
      <c r="A234" s="659" t="s">
        <v>114</v>
      </c>
      <c r="B234" s="660" t="s">
        <v>115</v>
      </c>
      <c r="C234" s="660" t="s">
        <v>116</v>
      </c>
      <c r="D234" s="660" t="s">
        <v>117</v>
      </c>
      <c r="E234" s="661" t="s">
        <v>118</v>
      </c>
      <c r="F234" s="662" t="s">
        <v>48</v>
      </c>
      <c r="G234" s="660"/>
      <c r="H234" s="663"/>
      <c r="I234" s="664"/>
    </row>
    <row r="235" spans="1:9" ht="12.75">
      <c r="A235" s="665" t="s">
        <v>222</v>
      </c>
      <c r="B235" s="666"/>
      <c r="C235" s="666">
        <f>C230</f>
        <v>0</v>
      </c>
      <c r="D235" s="666"/>
      <c r="E235" s="667"/>
      <c r="F235" s="668"/>
      <c r="G235" s="666"/>
      <c r="H235" s="669"/>
      <c r="I235" s="664"/>
    </row>
    <row r="236" spans="1:9" ht="12.75">
      <c r="A236" s="670">
        <v>52293</v>
      </c>
      <c r="B236" s="666">
        <f>A236-A229</f>
        <v>62</v>
      </c>
      <c r="C236" s="666">
        <f>C235-D236</f>
        <v>0</v>
      </c>
      <c r="D236" s="282"/>
      <c r="E236" s="671">
        <f>$E$11+$E$12</f>
        <v>0.0664</v>
      </c>
      <c r="F236" s="668">
        <f>B236*C235*E236/I236</f>
        <v>0</v>
      </c>
      <c r="G236" s="666"/>
      <c r="H236" s="669"/>
      <c r="I236" s="664">
        <v>365</v>
      </c>
    </row>
    <row r="237" spans="1:9" ht="12.75">
      <c r="A237" s="670">
        <v>52412</v>
      </c>
      <c r="B237" s="666">
        <f>A237-A236</f>
        <v>119</v>
      </c>
      <c r="C237" s="666">
        <f>C236-D237</f>
        <v>0</v>
      </c>
      <c r="D237" s="282"/>
      <c r="E237" s="671">
        <f>$E$11+$E$12</f>
        <v>0.0664</v>
      </c>
      <c r="F237" s="668">
        <f>B237*C236*E237/I237</f>
        <v>0</v>
      </c>
      <c r="G237" s="666"/>
      <c r="H237" s="669"/>
      <c r="I237" s="664">
        <v>365</v>
      </c>
    </row>
    <row r="238" spans="1:9" ht="12.75">
      <c r="A238" s="670">
        <v>52504</v>
      </c>
      <c r="B238" s="666">
        <f>A238-A237</f>
        <v>92</v>
      </c>
      <c r="C238" s="666">
        <f>C237-D238</f>
        <v>0</v>
      </c>
      <c r="D238" s="282"/>
      <c r="E238" s="671">
        <f>$E$11+$E$12</f>
        <v>0.0664</v>
      </c>
      <c r="F238" s="668">
        <f>B238*C237*E238/I238</f>
        <v>0</v>
      </c>
      <c r="G238" s="666"/>
      <c r="H238" s="669"/>
      <c r="I238" s="664">
        <v>365</v>
      </c>
    </row>
    <row r="239" spans="1:9" ht="12.75">
      <c r="A239" s="670">
        <v>52596</v>
      </c>
      <c r="B239" s="666">
        <f>A239-A238</f>
        <v>92</v>
      </c>
      <c r="C239" s="666">
        <f>C238-D239</f>
        <v>0</v>
      </c>
      <c r="D239" s="282"/>
      <c r="E239" s="671">
        <f>$E$11+$E$12</f>
        <v>0.0664</v>
      </c>
      <c r="F239" s="668">
        <f>B239*C238*E239/I239</f>
        <v>0</v>
      </c>
      <c r="G239" s="666"/>
      <c r="H239" s="669"/>
      <c r="I239" s="664">
        <v>365</v>
      </c>
    </row>
    <row r="240" spans="1:9" ht="12.75">
      <c r="A240" s="672"/>
      <c r="B240" s="673"/>
      <c r="C240" s="673">
        <f>C239</f>
        <v>0</v>
      </c>
      <c r="D240" s="673">
        <f>SUM(D236:D239)</f>
        <v>0</v>
      </c>
      <c r="E240" s="674"/>
      <c r="F240" s="675">
        <f>SUM(F236:F239)</f>
        <v>0</v>
      </c>
      <c r="G240" s="673"/>
      <c r="H240" s="676"/>
      <c r="I240" s="664"/>
    </row>
    <row r="241" spans="1:9" ht="12.75">
      <c r="A241" s="677"/>
      <c r="B241" s="677"/>
      <c r="C241" s="677"/>
      <c r="D241" s="677"/>
      <c r="E241" s="677"/>
      <c r="F241" s="677"/>
      <c r="G241" s="677"/>
      <c r="H241" s="677"/>
      <c r="I241" s="677"/>
    </row>
    <row r="242" spans="1:9" ht="12.75">
      <c r="A242" s="677"/>
      <c r="B242" s="677"/>
      <c r="C242" s="677"/>
      <c r="D242" s="677"/>
      <c r="E242" s="677"/>
      <c r="F242" s="677"/>
      <c r="G242" s="677"/>
      <c r="H242" s="677"/>
      <c r="I242" s="677"/>
    </row>
    <row r="243" spans="1:8" ht="12.75">
      <c r="A243" s="659"/>
      <c r="B243" s="660"/>
      <c r="C243" s="660"/>
      <c r="D243" s="660"/>
      <c r="E243" s="661"/>
      <c r="F243" s="662"/>
      <c r="G243" s="660"/>
      <c r="H243" s="663"/>
    </row>
    <row r="244" spans="1:8" ht="12.75">
      <c r="A244" s="665"/>
      <c r="B244" s="666"/>
      <c r="C244" s="666"/>
      <c r="D244" s="666"/>
      <c r="E244" s="667"/>
      <c r="F244" s="668"/>
      <c r="G244" s="666"/>
      <c r="H244" s="669"/>
    </row>
    <row r="245" spans="1:8" ht="12.75">
      <c r="A245" s="670"/>
      <c r="B245" s="666"/>
      <c r="C245" s="666"/>
      <c r="D245" s="666"/>
      <c r="E245" s="671"/>
      <c r="F245" s="668"/>
      <c r="G245" s="666"/>
      <c r="H245" s="669"/>
    </row>
    <row r="246" spans="1:8" ht="12.75">
      <c r="A246" s="670"/>
      <c r="B246" s="666"/>
      <c r="C246" s="666"/>
      <c r="D246" s="666"/>
      <c r="E246" s="671"/>
      <c r="F246" s="668"/>
      <c r="G246" s="666"/>
      <c r="H246" s="669"/>
    </row>
    <row r="247" spans="1:8" ht="12.75">
      <c r="A247" s="670"/>
      <c r="B247" s="666"/>
      <c r="C247" s="666"/>
      <c r="D247" s="666"/>
      <c r="E247" s="671"/>
      <c r="F247" s="668"/>
      <c r="G247" s="666"/>
      <c r="H247" s="669"/>
    </row>
    <row r="248" spans="1:8" ht="12.75" customHeight="1">
      <c r="A248" s="670"/>
      <c r="B248" s="666"/>
      <c r="C248" s="666"/>
      <c r="D248" s="666"/>
      <c r="E248" s="671"/>
      <c r="F248" s="668"/>
      <c r="G248" s="666"/>
      <c r="H248" s="669"/>
    </row>
    <row r="249" spans="1:8" ht="12.75">
      <c r="A249" s="672"/>
      <c r="B249" s="673"/>
      <c r="C249" s="673"/>
      <c r="D249" s="673"/>
      <c r="E249" s="674"/>
      <c r="F249" s="675"/>
      <c r="G249" s="673"/>
      <c r="H249" s="676"/>
    </row>
  </sheetData>
  <sheetProtection selectLockedCells="1" selectUnlockedCells="1"/>
  <mergeCells count="32">
    <mergeCell ref="A1:B1"/>
    <mergeCell ref="A2:B2"/>
    <mergeCell ref="A3:B3"/>
    <mergeCell ref="A4:B4"/>
    <mergeCell ref="A6:B6"/>
    <mergeCell ref="A8:F8"/>
    <mergeCell ref="M14:O16"/>
    <mergeCell ref="A15:F15"/>
    <mergeCell ref="A16:F16"/>
    <mergeCell ref="A17:F17"/>
    <mergeCell ref="A18:F18"/>
    <mergeCell ref="A22:H22"/>
    <mergeCell ref="A32:H32"/>
    <mergeCell ref="A42:H42"/>
    <mergeCell ref="A52:H52"/>
    <mergeCell ref="A62:H62"/>
    <mergeCell ref="A72:H72"/>
    <mergeCell ref="A82:H82"/>
    <mergeCell ref="A92:H92"/>
    <mergeCell ref="A102:H102"/>
    <mergeCell ref="A112:H112"/>
    <mergeCell ref="A122:H122"/>
    <mergeCell ref="A132:H132"/>
    <mergeCell ref="A142:H142"/>
    <mergeCell ref="A212:H212"/>
    <mergeCell ref="A222:H222"/>
    <mergeCell ref="A152:H152"/>
    <mergeCell ref="A162:H162"/>
    <mergeCell ref="A172:H172"/>
    <mergeCell ref="A182:H182"/>
    <mergeCell ref="A192:H192"/>
    <mergeCell ref="A202:H20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9"/>
  <sheetViews>
    <sheetView zoomScalePageLayoutView="0" workbookViewId="0" topLeftCell="A25">
      <selection activeCell="C46" sqref="C46"/>
    </sheetView>
  </sheetViews>
  <sheetFormatPr defaultColWidth="9.140625" defaultRowHeight="12.75" outlineLevelRow="1"/>
  <cols>
    <col min="2" max="2" width="15.00390625" style="0" customWidth="1"/>
    <col min="3" max="3" width="26.00390625" style="0" customWidth="1"/>
    <col min="4" max="4" width="13.57421875" style="0" customWidth="1"/>
    <col min="5" max="5" width="11.28125" style="0" customWidth="1"/>
    <col min="6" max="6" width="10.7109375" style="0" customWidth="1"/>
    <col min="14" max="14" width="14.8515625" style="0" customWidth="1"/>
    <col min="15" max="15" width="19.140625" style="0" customWidth="1"/>
    <col min="16" max="16" width="14.421875" style="0" customWidth="1"/>
  </cols>
  <sheetData>
    <row r="1" spans="1:10" ht="12.75" customHeight="1">
      <c r="A1" s="873" t="s">
        <v>98</v>
      </c>
      <c r="B1" s="873"/>
      <c r="C1" s="254"/>
      <c r="D1" s="254"/>
      <c r="E1" s="254"/>
      <c r="F1" s="254"/>
      <c r="G1" s="255"/>
      <c r="H1" s="255"/>
      <c r="I1" s="256"/>
      <c r="J1" s="256"/>
    </row>
    <row r="2" spans="1:10" ht="12.75">
      <c r="A2" s="874"/>
      <c r="B2" s="874"/>
      <c r="C2" s="254"/>
      <c r="D2" s="254"/>
      <c r="E2" s="254"/>
      <c r="F2" s="254"/>
      <c r="G2" s="255"/>
      <c r="H2" s="255"/>
      <c r="I2" s="256"/>
      <c r="J2" s="256"/>
    </row>
    <row r="3" spans="1:10" ht="12.75">
      <c r="A3" s="875"/>
      <c r="B3" s="875"/>
      <c r="C3" s="254"/>
      <c r="D3" s="254"/>
      <c r="E3" s="254"/>
      <c r="F3" s="254"/>
      <c r="G3" s="255"/>
      <c r="H3" s="255"/>
      <c r="I3" s="256"/>
      <c r="J3" s="256"/>
    </row>
    <row r="4" spans="1:10" ht="12.75" customHeight="1">
      <c r="A4" s="876" t="s">
        <v>99</v>
      </c>
      <c r="B4" s="876"/>
      <c r="C4" s="254"/>
      <c r="D4" s="254"/>
      <c r="E4" s="254"/>
      <c r="F4" s="254"/>
      <c r="G4" s="255"/>
      <c r="H4" s="255"/>
      <c r="I4" s="256"/>
      <c r="J4" s="256"/>
    </row>
    <row r="5" spans="1:10" ht="12.75">
      <c r="A5" s="254"/>
      <c r="B5" s="254"/>
      <c r="C5" s="254"/>
      <c r="D5" s="254"/>
      <c r="E5" s="254"/>
      <c r="F5" s="254"/>
      <c r="G5" s="255"/>
      <c r="H5" s="255"/>
      <c r="I5" s="256"/>
      <c r="J5" s="256"/>
    </row>
    <row r="6" spans="1:10" ht="12.75" customHeight="1">
      <c r="A6" s="877" t="s">
        <v>202</v>
      </c>
      <c r="B6" s="877"/>
      <c r="C6" s="254"/>
      <c r="D6" s="254"/>
      <c r="E6" s="254"/>
      <c r="F6" s="254"/>
      <c r="G6" s="255"/>
      <c r="H6" s="255"/>
      <c r="I6" s="256"/>
      <c r="J6" s="256"/>
    </row>
    <row r="7" spans="1:10" ht="12.75">
      <c r="A7" s="254"/>
      <c r="B7" s="254"/>
      <c r="C7" s="254"/>
      <c r="D7" s="254"/>
      <c r="E7" s="254"/>
      <c r="F7" s="254"/>
      <c r="G7" s="255"/>
      <c r="H7" s="255"/>
      <c r="I7" s="256"/>
      <c r="J7" s="256"/>
    </row>
    <row r="8" spans="1:10" ht="35.25" customHeight="1">
      <c r="A8" s="878" t="s">
        <v>203</v>
      </c>
      <c r="B8" s="878"/>
      <c r="C8" s="878"/>
      <c r="D8" s="878"/>
      <c r="E8" s="878"/>
      <c r="F8" s="878"/>
      <c r="G8" s="255"/>
      <c r="H8" s="255"/>
      <c r="I8" s="256"/>
      <c r="J8" s="256"/>
    </row>
    <row r="9" spans="1:10" ht="12.75">
      <c r="A9" s="256"/>
      <c r="B9" s="255"/>
      <c r="C9" s="255"/>
      <c r="D9" s="255"/>
      <c r="E9" s="257"/>
      <c r="F9" s="258"/>
      <c r="G9" s="255"/>
      <c r="H9" s="255"/>
      <c r="I9" s="256"/>
      <c r="J9" s="256"/>
    </row>
    <row r="10" spans="1:10" ht="12.75">
      <c r="A10" s="256"/>
      <c r="B10" s="255"/>
      <c r="C10" s="255"/>
      <c r="D10" s="255"/>
      <c r="E10" s="257"/>
      <c r="F10" s="258"/>
      <c r="G10" s="255"/>
      <c r="H10" s="255"/>
      <c r="I10" s="256"/>
      <c r="J10" s="256"/>
    </row>
    <row r="11" spans="1:10" ht="12.75">
      <c r="A11" s="256" t="s">
        <v>204</v>
      </c>
      <c r="B11" s="255"/>
      <c r="C11" s="255"/>
      <c r="D11" s="255"/>
      <c r="E11" s="560">
        <v>0.0589</v>
      </c>
      <c r="F11" s="258"/>
      <c r="G11" s="255"/>
      <c r="H11" s="255"/>
      <c r="I11" s="256"/>
      <c r="J11" s="256"/>
    </row>
    <row r="12" spans="1:10" ht="12.75">
      <c r="A12" s="256" t="s">
        <v>103</v>
      </c>
      <c r="B12" s="255"/>
      <c r="C12" s="255"/>
      <c r="D12" s="255"/>
      <c r="E12" s="260">
        <v>0.0075</v>
      </c>
      <c r="F12" s="258"/>
      <c r="G12" s="255"/>
      <c r="H12" s="255"/>
      <c r="I12" s="256"/>
      <c r="J12" s="256"/>
    </row>
    <row r="13" spans="1:10" ht="12.75">
      <c r="A13" s="256" t="s">
        <v>104</v>
      </c>
      <c r="B13" s="255"/>
      <c r="C13" s="255"/>
      <c r="D13" s="255"/>
      <c r="E13" s="261">
        <v>44896</v>
      </c>
      <c r="F13" s="258"/>
      <c r="G13" s="255"/>
      <c r="H13" s="255"/>
      <c r="I13" s="256"/>
      <c r="J13" s="256"/>
    </row>
    <row r="14" spans="1:15" ht="12.75">
      <c r="A14" s="256"/>
      <c r="B14" s="255"/>
      <c r="C14" s="255"/>
      <c r="D14" s="255"/>
      <c r="E14" s="262"/>
      <c r="F14" s="258"/>
      <c r="G14" s="255"/>
      <c r="H14" s="255"/>
      <c r="I14" s="256"/>
      <c r="J14" s="256"/>
      <c r="M14" s="869" t="s">
        <v>236</v>
      </c>
      <c r="N14" s="869"/>
      <c r="O14" s="869"/>
    </row>
    <row r="15" spans="1:15" ht="12.75">
      <c r="A15" s="870" t="s">
        <v>106</v>
      </c>
      <c r="B15" s="870"/>
      <c r="C15" s="870"/>
      <c r="D15" s="870"/>
      <c r="E15" s="870"/>
      <c r="F15" s="870"/>
      <c r="G15" s="255"/>
      <c r="H15" s="255"/>
      <c r="I15" s="256"/>
      <c r="J15" s="256"/>
      <c r="M15" s="869"/>
      <c r="N15" s="869"/>
      <c r="O15" s="869"/>
    </row>
    <row r="16" spans="1:15" ht="13.5" customHeight="1">
      <c r="A16" s="871" t="s">
        <v>107</v>
      </c>
      <c r="B16" s="871"/>
      <c r="C16" s="871"/>
      <c r="D16" s="871"/>
      <c r="E16" s="871"/>
      <c r="F16" s="871"/>
      <c r="G16" s="255"/>
      <c r="H16" s="255"/>
      <c r="I16" s="256"/>
      <c r="J16" s="256"/>
      <c r="M16" s="869"/>
      <c r="N16" s="869"/>
      <c r="O16" s="869"/>
    </row>
    <row r="17" spans="1:15" ht="30" customHeight="1">
      <c r="A17" s="871" t="s">
        <v>108</v>
      </c>
      <c r="B17" s="871"/>
      <c r="C17" s="871"/>
      <c r="D17" s="871"/>
      <c r="E17" s="871"/>
      <c r="F17" s="871"/>
      <c r="G17" s="255"/>
      <c r="H17" s="255"/>
      <c r="I17" s="256"/>
      <c r="J17" s="256"/>
      <c r="M17" s="477" t="s">
        <v>109</v>
      </c>
      <c r="N17" s="478" t="s">
        <v>205</v>
      </c>
      <c r="O17" s="478" t="s">
        <v>206</v>
      </c>
    </row>
    <row r="18" spans="1:15" ht="12.75" customHeight="1">
      <c r="A18" s="872" t="s">
        <v>112</v>
      </c>
      <c r="B18" s="872"/>
      <c r="C18" s="872"/>
      <c r="D18" s="872"/>
      <c r="E18" s="872"/>
      <c r="F18" s="872"/>
      <c r="G18" s="255"/>
      <c r="H18" s="255"/>
      <c r="I18" s="256"/>
      <c r="J18" s="256"/>
      <c r="M18" s="265">
        <v>2022</v>
      </c>
      <c r="N18" s="266">
        <f>F30</f>
        <v>0</v>
      </c>
      <c r="O18" s="266">
        <f>D30</f>
        <v>0</v>
      </c>
    </row>
    <row r="19" spans="1:15" ht="12.75">
      <c r="A19" s="267"/>
      <c r="B19" s="268"/>
      <c r="C19" s="268"/>
      <c r="D19" s="268"/>
      <c r="E19" s="269"/>
      <c r="F19" s="270"/>
      <c r="G19" s="255"/>
      <c r="H19" s="255"/>
      <c r="I19" s="256"/>
      <c r="J19" s="256"/>
      <c r="M19" s="265">
        <v>2023</v>
      </c>
      <c r="N19" s="266">
        <f>F40</f>
        <v>0</v>
      </c>
      <c r="O19" s="266">
        <f>D40</f>
        <v>0</v>
      </c>
    </row>
    <row r="20" spans="1:15" ht="12.75">
      <c r="A20" s="256"/>
      <c r="B20" s="255"/>
      <c r="C20" s="255"/>
      <c r="D20" s="255"/>
      <c r="E20" s="257"/>
      <c r="F20" s="258"/>
      <c r="G20" s="255"/>
      <c r="H20" s="255"/>
      <c r="I20" s="256"/>
      <c r="J20" s="256"/>
      <c r="M20" s="265">
        <v>2024</v>
      </c>
      <c r="N20" s="266">
        <f>F50</f>
        <v>0</v>
      </c>
      <c r="O20" s="266">
        <f>D50</f>
        <v>0</v>
      </c>
    </row>
    <row r="21" spans="1:15" ht="12.75">
      <c r="A21" s="291"/>
      <c r="B21" s="282"/>
      <c r="C21" s="282"/>
      <c r="D21" s="282"/>
      <c r="E21" s="284"/>
      <c r="F21" s="285"/>
      <c r="G21" s="282"/>
      <c r="H21" s="286"/>
      <c r="I21" s="256"/>
      <c r="J21" s="256"/>
      <c r="M21" s="265">
        <v>2025</v>
      </c>
      <c r="N21" s="266">
        <f>F60</f>
        <v>1302940.8219178081</v>
      </c>
      <c r="O21" s="266">
        <f>D60</f>
        <v>1000000</v>
      </c>
    </row>
    <row r="22" spans="1:15" ht="12.75" outlineLevel="1">
      <c r="A22" s="864" t="s">
        <v>113</v>
      </c>
      <c r="B22" s="864"/>
      <c r="C22" s="864"/>
      <c r="D22" s="864"/>
      <c r="E22" s="864"/>
      <c r="F22" s="864"/>
      <c r="G22" s="864"/>
      <c r="H22" s="864"/>
      <c r="I22" s="256"/>
      <c r="J22" s="256"/>
      <c r="M22" s="265">
        <v>2026</v>
      </c>
      <c r="N22" s="266">
        <f>F70</f>
        <v>1236540.8219178081</v>
      </c>
      <c r="O22" s="266">
        <f>D70</f>
        <v>1000000</v>
      </c>
    </row>
    <row r="23" spans="1:15" ht="12.75" outlineLevel="1">
      <c r="A23" s="271"/>
      <c r="B23" s="272"/>
      <c r="C23" s="272"/>
      <c r="D23" s="272"/>
      <c r="E23" s="273"/>
      <c r="F23" s="274"/>
      <c r="G23" s="272"/>
      <c r="H23" s="275"/>
      <c r="I23" s="256"/>
      <c r="J23" s="256"/>
      <c r="M23" s="265">
        <v>2027</v>
      </c>
      <c r="N23" s="266">
        <f>F80</f>
        <v>1170140.8219178081</v>
      </c>
      <c r="O23" s="266">
        <f>D80</f>
        <v>1000000</v>
      </c>
    </row>
    <row r="24" spans="1:15" ht="22.5" outlineLevel="1">
      <c r="A24" s="276" t="s">
        <v>114</v>
      </c>
      <c r="B24" s="277" t="s">
        <v>115</v>
      </c>
      <c r="C24" s="277" t="s">
        <v>116</v>
      </c>
      <c r="D24" s="277" t="s">
        <v>117</v>
      </c>
      <c r="E24" s="278" t="s">
        <v>118</v>
      </c>
      <c r="F24" s="279" t="s">
        <v>48</v>
      </c>
      <c r="G24" s="277"/>
      <c r="H24" s="280"/>
      <c r="I24" s="256"/>
      <c r="J24" s="256"/>
      <c r="M24" s="265">
        <v>2028</v>
      </c>
      <c r="N24" s="266">
        <f>F90</f>
        <v>1103809.2896174863</v>
      </c>
      <c r="O24" s="266">
        <f>D90</f>
        <v>1000000</v>
      </c>
    </row>
    <row r="25" spans="1:15" ht="12.75" outlineLevel="1">
      <c r="A25" s="281" t="s">
        <v>121</v>
      </c>
      <c r="B25" s="282"/>
      <c r="C25" s="282"/>
      <c r="D25" s="282"/>
      <c r="E25" s="284"/>
      <c r="F25" s="285"/>
      <c r="G25" s="282"/>
      <c r="H25" s="286"/>
      <c r="I25" s="256"/>
      <c r="J25" s="256"/>
      <c r="M25" s="265">
        <v>2029</v>
      </c>
      <c r="N25" s="266">
        <f>F100</f>
        <v>1037340.8219178083</v>
      </c>
      <c r="O25" s="266">
        <f>D100</f>
        <v>1000000</v>
      </c>
    </row>
    <row r="26" spans="1:15" ht="12.75" outlineLevel="1">
      <c r="A26" s="307">
        <v>44651</v>
      </c>
      <c r="B26" s="282"/>
      <c r="C26" s="282"/>
      <c r="D26" s="282"/>
      <c r="E26" s="308">
        <f>$E$11+$E$12</f>
        <v>0.0664</v>
      </c>
      <c r="F26" s="285"/>
      <c r="G26" s="282"/>
      <c r="H26" s="286"/>
      <c r="I26" s="256">
        <v>365</v>
      </c>
      <c r="J26" s="256"/>
      <c r="M26" s="265">
        <v>2030</v>
      </c>
      <c r="N26" s="266">
        <f>F110</f>
        <v>970940.8219178083</v>
      </c>
      <c r="O26" s="266">
        <f>D110</f>
        <v>1000000</v>
      </c>
    </row>
    <row r="27" spans="1:15" ht="12.75" outlineLevel="1">
      <c r="A27" s="307">
        <v>44742</v>
      </c>
      <c r="B27" s="282">
        <v>30</v>
      </c>
      <c r="C27" s="282"/>
      <c r="D27" s="282">
        <v>0</v>
      </c>
      <c r="E27" s="308">
        <f>$E$11+$E$12</f>
        <v>0.0664</v>
      </c>
      <c r="F27" s="285">
        <f>B27*C26*E27/I27</f>
        <v>0</v>
      </c>
      <c r="G27" s="282"/>
      <c r="H27" s="286"/>
      <c r="I27" s="256">
        <v>365</v>
      </c>
      <c r="J27" s="256"/>
      <c r="M27" s="265">
        <v>2031</v>
      </c>
      <c r="N27" s="266">
        <f>F120</f>
        <v>904540.8219178083</v>
      </c>
      <c r="O27" s="266">
        <f>D120</f>
        <v>1000000</v>
      </c>
    </row>
    <row r="28" spans="1:15" ht="12.75" outlineLevel="1">
      <c r="A28" s="307">
        <v>44834</v>
      </c>
      <c r="B28" s="282">
        <f>A28-A27</f>
        <v>92</v>
      </c>
      <c r="C28" s="282"/>
      <c r="D28" s="282"/>
      <c r="E28" s="308">
        <f>$E$11+$E$12</f>
        <v>0.0664</v>
      </c>
      <c r="F28" s="285">
        <f>B28*C27*E28/I28</f>
        <v>0</v>
      </c>
      <c r="G28" s="282"/>
      <c r="H28" s="286"/>
      <c r="I28" s="256">
        <v>365</v>
      </c>
      <c r="J28" s="256"/>
      <c r="M28" s="265">
        <v>2032</v>
      </c>
      <c r="N28" s="266">
        <f>F130</f>
        <v>838209.2896174864</v>
      </c>
      <c r="O28" s="266">
        <f>D130</f>
        <v>1000000</v>
      </c>
    </row>
    <row r="29" spans="1:15" ht="12.75" outlineLevel="1">
      <c r="A29" s="307">
        <v>44926</v>
      </c>
      <c r="B29" s="282">
        <f>A29-A28</f>
        <v>92</v>
      </c>
      <c r="C29" s="282"/>
      <c r="D29" s="282"/>
      <c r="E29" s="308">
        <f>$E$11+$E$12</f>
        <v>0.0664</v>
      </c>
      <c r="F29" s="285">
        <f>B29*C28*E29/I29</f>
        <v>0</v>
      </c>
      <c r="G29" s="282"/>
      <c r="H29" s="286"/>
      <c r="I29" s="256">
        <v>365</v>
      </c>
      <c r="J29" s="256"/>
      <c r="M29" s="265">
        <v>2033</v>
      </c>
      <c r="N29" s="266">
        <f>F140</f>
        <v>771740.8219178081</v>
      </c>
      <c r="O29" s="266">
        <f>D140</f>
        <v>1000000</v>
      </c>
    </row>
    <row r="30" spans="1:15" ht="12.75" outlineLevel="1">
      <c r="A30" s="309"/>
      <c r="B30" s="288"/>
      <c r="C30" s="288">
        <f>C29</f>
        <v>0</v>
      </c>
      <c r="D30" s="288">
        <f>SUM(D26:D29)</f>
        <v>0</v>
      </c>
      <c r="E30" s="289"/>
      <c r="F30" s="274">
        <f>SUM(F27:F29)</f>
        <v>0</v>
      </c>
      <c r="G30" s="288"/>
      <c r="H30" s="290"/>
      <c r="I30" s="256"/>
      <c r="J30" s="256"/>
      <c r="M30" s="265">
        <v>2034</v>
      </c>
      <c r="N30" s="266">
        <f>F150</f>
        <v>705340.8219178081</v>
      </c>
      <c r="O30" s="266">
        <f>D150</f>
        <v>1000000</v>
      </c>
    </row>
    <row r="31" spans="1:15" ht="12.75" outlineLevel="1">
      <c r="A31" s="291"/>
      <c r="B31" s="282"/>
      <c r="C31" s="282"/>
      <c r="D31" s="282"/>
      <c r="E31" s="284"/>
      <c r="F31" s="285"/>
      <c r="G31" s="282"/>
      <c r="H31" s="286"/>
      <c r="I31" s="256"/>
      <c r="J31" s="256"/>
      <c r="M31" s="265">
        <v>2035</v>
      </c>
      <c r="N31" s="266">
        <f>F160</f>
        <v>638940.8219178081</v>
      </c>
      <c r="O31" s="266">
        <f>D160</f>
        <v>1000000</v>
      </c>
    </row>
    <row r="32" spans="1:15" ht="12.75" outlineLevel="1">
      <c r="A32" s="864" t="s">
        <v>113</v>
      </c>
      <c r="B32" s="864"/>
      <c r="C32" s="864"/>
      <c r="D32" s="864"/>
      <c r="E32" s="864"/>
      <c r="F32" s="864"/>
      <c r="G32" s="864"/>
      <c r="H32" s="864"/>
      <c r="I32" s="256"/>
      <c r="J32" s="256"/>
      <c r="M32" s="265">
        <v>2036</v>
      </c>
      <c r="N32" s="266">
        <f>F170</f>
        <v>572609.2896174863</v>
      </c>
      <c r="O32" s="266">
        <f>D170</f>
        <v>1000000</v>
      </c>
    </row>
    <row r="33" spans="1:15" ht="12.75" outlineLevel="1">
      <c r="A33" s="271"/>
      <c r="B33" s="272"/>
      <c r="C33" s="272"/>
      <c r="D33" s="272"/>
      <c r="E33" s="273"/>
      <c r="F33" s="274"/>
      <c r="G33" s="272"/>
      <c r="H33" s="275"/>
      <c r="I33" s="256"/>
      <c r="J33" s="256"/>
      <c r="M33" s="265">
        <v>2037</v>
      </c>
      <c r="N33" s="266">
        <f>F180</f>
        <v>506140.82191780827</v>
      </c>
      <c r="O33" s="266">
        <f>D180</f>
        <v>1000000</v>
      </c>
    </row>
    <row r="34" spans="1:15" ht="22.5" outlineLevel="1">
      <c r="A34" s="276" t="s">
        <v>114</v>
      </c>
      <c r="B34" s="277" t="s">
        <v>115</v>
      </c>
      <c r="C34" s="277" t="s">
        <v>116</v>
      </c>
      <c r="D34" s="277" t="s">
        <v>117</v>
      </c>
      <c r="E34" s="278" t="s">
        <v>118</v>
      </c>
      <c r="F34" s="279" t="s">
        <v>48</v>
      </c>
      <c r="G34" s="277"/>
      <c r="H34" s="280"/>
      <c r="I34" s="256"/>
      <c r="J34" s="256"/>
      <c r="M34" s="265">
        <v>2038</v>
      </c>
      <c r="N34" s="266">
        <f>F190</f>
        <v>439740.82191780827</v>
      </c>
      <c r="O34" s="266">
        <f>D190</f>
        <v>1000000</v>
      </c>
    </row>
    <row r="35" spans="1:15" ht="12.75" outlineLevel="1">
      <c r="A35" s="281" t="s">
        <v>122</v>
      </c>
      <c r="B35" s="282"/>
      <c r="C35" s="282">
        <f>C30</f>
        <v>0</v>
      </c>
      <c r="D35" s="282"/>
      <c r="E35" s="284"/>
      <c r="F35" s="285"/>
      <c r="G35" s="282"/>
      <c r="H35" s="286"/>
      <c r="I35" s="256"/>
      <c r="J35" s="256"/>
      <c r="M35" s="265">
        <v>2039</v>
      </c>
      <c r="N35" s="266">
        <f>F200</f>
        <v>373340.82191780815</v>
      </c>
      <c r="O35" s="266">
        <f>D200</f>
        <v>1000000</v>
      </c>
    </row>
    <row r="36" spans="1:15" ht="12.75" outlineLevel="1">
      <c r="A36" s="307">
        <v>45016</v>
      </c>
      <c r="B36" s="282">
        <f>A36-A29</f>
        <v>90</v>
      </c>
      <c r="C36" s="282">
        <f>C35-D36</f>
        <v>0</v>
      </c>
      <c r="D36" s="282"/>
      <c r="E36" s="308">
        <f>$E$11+$E$12</f>
        <v>0.0664</v>
      </c>
      <c r="F36" s="285">
        <f>B36*C35*E36/I36</f>
        <v>0</v>
      </c>
      <c r="G36" s="282"/>
      <c r="H36" s="286"/>
      <c r="I36" s="256">
        <v>365</v>
      </c>
      <c r="J36" s="256"/>
      <c r="M36" s="265">
        <v>2040</v>
      </c>
      <c r="N36" s="266">
        <f>F210</f>
        <v>307009.28961748636</v>
      </c>
      <c r="O36" s="266">
        <f>D210</f>
        <v>1000000</v>
      </c>
    </row>
    <row r="37" spans="1:15" ht="12.75" outlineLevel="1">
      <c r="A37" s="307">
        <v>45107</v>
      </c>
      <c r="B37" s="282">
        <f>A37-A36</f>
        <v>91</v>
      </c>
      <c r="C37" s="282">
        <f>C36-D37</f>
        <v>0</v>
      </c>
      <c r="D37" s="282"/>
      <c r="E37" s="308">
        <f>$E$11+$E$12</f>
        <v>0.0664</v>
      </c>
      <c r="F37" s="285">
        <f>B37*C36*E37/I37</f>
        <v>0</v>
      </c>
      <c r="G37" s="282"/>
      <c r="H37" s="286"/>
      <c r="I37" s="256">
        <v>365</v>
      </c>
      <c r="J37" s="256"/>
      <c r="M37" s="265">
        <v>2041</v>
      </c>
      <c r="N37" s="266">
        <f>F220</f>
        <v>240540.82191780824</v>
      </c>
      <c r="O37" s="266">
        <f>D220</f>
        <v>1000000</v>
      </c>
    </row>
    <row r="38" spans="1:15" ht="12.75" outlineLevel="1">
      <c r="A38" s="307">
        <v>45199</v>
      </c>
      <c r="B38" s="282">
        <f>A38-A37</f>
        <v>92</v>
      </c>
      <c r="C38" s="282">
        <f>C37-D38</f>
        <v>0</v>
      </c>
      <c r="D38" s="282"/>
      <c r="E38" s="308">
        <f>$E$11+$E$12</f>
        <v>0.0664</v>
      </c>
      <c r="F38" s="285">
        <f>B38*C37*E38/I38</f>
        <v>0</v>
      </c>
      <c r="G38" s="282"/>
      <c r="H38" s="286"/>
      <c r="I38" s="256">
        <v>365</v>
      </c>
      <c r="J38" s="256"/>
      <c r="M38" s="265">
        <v>2042</v>
      </c>
      <c r="N38" s="266">
        <f>F230</f>
        <v>172867.39726027398</v>
      </c>
      <c r="O38" s="266">
        <f>D230</f>
        <v>1000000</v>
      </c>
    </row>
    <row r="39" spans="1:15" ht="12.75" outlineLevel="1">
      <c r="A39" s="307">
        <v>45291</v>
      </c>
      <c r="B39" s="282">
        <f>A39-A38</f>
        <v>92</v>
      </c>
      <c r="C39" s="282">
        <v>0</v>
      </c>
      <c r="D39" s="282"/>
      <c r="E39" s="308">
        <f>$E$11+$E$12</f>
        <v>0.0664</v>
      </c>
      <c r="F39" s="285">
        <f>B39*C38*E39/I39</f>
        <v>0</v>
      </c>
      <c r="G39" s="282"/>
      <c r="H39" s="286"/>
      <c r="I39" s="256">
        <v>365</v>
      </c>
      <c r="J39" s="256"/>
      <c r="M39" s="265">
        <v>2043</v>
      </c>
      <c r="N39" s="266">
        <f>F240</f>
        <v>80134.79452054793</v>
      </c>
      <c r="O39" s="266">
        <f>D240</f>
        <v>2000000</v>
      </c>
    </row>
    <row r="40" spans="1:15" ht="12.75" outlineLevel="1">
      <c r="A40" s="309"/>
      <c r="B40" s="288"/>
      <c r="C40" s="288">
        <f>C39</f>
        <v>0</v>
      </c>
      <c r="D40" s="288">
        <f>SUM(D36:D39)</f>
        <v>0</v>
      </c>
      <c r="E40" s="289"/>
      <c r="F40" s="274">
        <f>SUM(F36:F39)</f>
        <v>0</v>
      </c>
      <c r="G40" s="288"/>
      <c r="H40" s="290"/>
      <c r="I40" s="256"/>
      <c r="J40" s="256"/>
      <c r="M40" s="265" t="s">
        <v>42</v>
      </c>
      <c r="N40" s="306">
        <f>SUM(N18:N39)</f>
        <v>13372870.035182273</v>
      </c>
      <c r="O40" s="306">
        <f>SUM(O18:O39)</f>
        <v>20000000</v>
      </c>
    </row>
    <row r="41" spans="1:10" ht="12.75" outlineLevel="1">
      <c r="A41" s="291"/>
      <c r="B41" s="282"/>
      <c r="C41" s="282"/>
      <c r="D41" s="282"/>
      <c r="E41" s="284"/>
      <c r="F41" s="285"/>
      <c r="G41" s="282"/>
      <c r="H41" s="286"/>
      <c r="I41" s="256"/>
      <c r="J41" s="256"/>
    </row>
    <row r="42" spans="1:10" ht="12.75" outlineLevel="1">
      <c r="A42" s="864" t="s">
        <v>113</v>
      </c>
      <c r="B42" s="864"/>
      <c r="C42" s="864"/>
      <c r="D42" s="864"/>
      <c r="E42" s="864"/>
      <c r="F42" s="864"/>
      <c r="G42" s="864"/>
      <c r="H42" s="864"/>
      <c r="I42" s="256"/>
      <c r="J42" s="256"/>
    </row>
    <row r="43" spans="1:10" ht="12.75" outlineLevel="1">
      <c r="A43" s="271"/>
      <c r="B43" s="272"/>
      <c r="C43" s="272"/>
      <c r="D43" s="272"/>
      <c r="E43" s="273"/>
      <c r="F43" s="274"/>
      <c r="G43" s="272"/>
      <c r="H43" s="275"/>
      <c r="I43" s="256"/>
      <c r="J43" s="256"/>
    </row>
    <row r="44" spans="1:10" ht="22.5" outlineLevel="1">
      <c r="A44" s="276" t="s">
        <v>114</v>
      </c>
      <c r="B44" s="277" t="s">
        <v>115</v>
      </c>
      <c r="C44" s="277" t="s">
        <v>116</v>
      </c>
      <c r="D44" s="277" t="s">
        <v>117</v>
      </c>
      <c r="E44" s="278" t="s">
        <v>118</v>
      </c>
      <c r="F44" s="279" t="s">
        <v>48</v>
      </c>
      <c r="G44" s="277"/>
      <c r="H44" s="280"/>
      <c r="I44" s="256"/>
      <c r="J44" s="256"/>
    </row>
    <row r="45" spans="1:10" ht="12.75" outlineLevel="1">
      <c r="A45" s="281" t="s">
        <v>123</v>
      </c>
      <c r="B45" s="282"/>
      <c r="C45" s="282">
        <f>C40</f>
        <v>0</v>
      </c>
      <c r="D45" s="282"/>
      <c r="E45" s="284"/>
      <c r="F45" s="285"/>
      <c r="G45" s="282"/>
      <c r="H45" s="286"/>
      <c r="I45" s="256"/>
      <c r="J45" s="256"/>
    </row>
    <row r="46" spans="1:10" ht="12.75" outlineLevel="1">
      <c r="A46" s="307">
        <v>45382</v>
      </c>
      <c r="B46" s="282">
        <f>A46-A39</f>
        <v>91</v>
      </c>
      <c r="C46" s="282">
        <f>C45-D46</f>
        <v>0</v>
      </c>
      <c r="D46" s="282"/>
      <c r="E46" s="308">
        <f>$E$11+$E$12</f>
        <v>0.0664</v>
      </c>
      <c r="F46" s="285">
        <f>B46*C45*E46/I46</f>
        <v>0</v>
      </c>
      <c r="G46" s="282"/>
      <c r="H46" s="286"/>
      <c r="I46" s="256">
        <v>366</v>
      </c>
      <c r="J46" s="256"/>
    </row>
    <row r="47" spans="1:10" ht="12.75" outlineLevel="1">
      <c r="A47" s="307">
        <v>45473</v>
      </c>
      <c r="B47" s="282">
        <f>A47-A46</f>
        <v>91</v>
      </c>
      <c r="C47" s="282">
        <f>C46-D47</f>
        <v>0</v>
      </c>
      <c r="D47" s="282"/>
      <c r="E47" s="308">
        <f>$E$11+$E$12</f>
        <v>0.0664</v>
      </c>
      <c r="F47" s="285">
        <f>B47*C46*E47/I47</f>
        <v>0</v>
      </c>
      <c r="G47" s="282"/>
      <c r="H47" s="286"/>
      <c r="I47" s="256">
        <v>366</v>
      </c>
      <c r="J47" s="256"/>
    </row>
    <row r="48" spans="1:10" ht="12.75" outlineLevel="1">
      <c r="A48" s="307">
        <v>45565</v>
      </c>
      <c r="B48" s="282">
        <f>A48-A47</f>
        <v>92</v>
      </c>
      <c r="C48" s="282">
        <f>C47-D48</f>
        <v>0</v>
      </c>
      <c r="D48" s="282"/>
      <c r="E48" s="308">
        <f>$E$11+$E$12</f>
        <v>0.0664</v>
      </c>
      <c r="F48" s="285">
        <f>B48*C47*E48/I48</f>
        <v>0</v>
      </c>
      <c r="G48" s="282"/>
      <c r="H48" s="286"/>
      <c r="I48" s="256">
        <v>366</v>
      </c>
      <c r="J48" s="256"/>
    </row>
    <row r="49" spans="1:10" ht="12.75" outlineLevel="1">
      <c r="A49" s="307">
        <v>45657</v>
      </c>
      <c r="B49" s="282">
        <f>A49-A48</f>
        <v>92</v>
      </c>
      <c r="C49" s="282">
        <v>20000000</v>
      </c>
      <c r="D49" s="282"/>
      <c r="E49" s="308">
        <f>$E$11+$E$12</f>
        <v>0.0664</v>
      </c>
      <c r="F49" s="285">
        <f>B49*C48*E49/I49</f>
        <v>0</v>
      </c>
      <c r="G49" s="282"/>
      <c r="H49" s="286"/>
      <c r="I49" s="256">
        <v>366</v>
      </c>
      <c r="J49" s="256"/>
    </row>
    <row r="50" spans="1:10" ht="12.75" outlineLevel="1">
      <c r="A50" s="309"/>
      <c r="B50" s="288"/>
      <c r="C50" s="288">
        <f>C49</f>
        <v>20000000</v>
      </c>
      <c r="D50" s="288">
        <f>SUM(D46:D49)</f>
        <v>0</v>
      </c>
      <c r="E50" s="289"/>
      <c r="F50" s="274">
        <f>SUM(F46:F49)</f>
        <v>0</v>
      </c>
      <c r="G50" s="288"/>
      <c r="H50" s="290"/>
      <c r="I50" s="256"/>
      <c r="J50" s="256"/>
    </row>
    <row r="51" spans="1:10" ht="12.75" outlineLevel="1">
      <c r="A51" s="291"/>
      <c r="B51" s="282"/>
      <c r="C51" s="282"/>
      <c r="D51" s="282"/>
      <c r="E51" s="284"/>
      <c r="F51" s="285"/>
      <c r="G51" s="282"/>
      <c r="H51" s="282"/>
      <c r="I51" s="256"/>
      <c r="J51" s="256"/>
    </row>
    <row r="52" spans="1:10" ht="12.75" outlineLevel="1">
      <c r="A52" s="864" t="s">
        <v>113</v>
      </c>
      <c r="B52" s="864"/>
      <c r="C52" s="864"/>
      <c r="D52" s="864"/>
      <c r="E52" s="864"/>
      <c r="F52" s="864"/>
      <c r="G52" s="864"/>
      <c r="H52" s="864"/>
      <c r="I52" s="256"/>
      <c r="J52" s="256"/>
    </row>
    <row r="53" spans="1:10" ht="12.75" outlineLevel="1">
      <c r="A53" s="271"/>
      <c r="B53" s="272"/>
      <c r="C53" s="272"/>
      <c r="D53" s="272"/>
      <c r="E53" s="273"/>
      <c r="F53" s="274"/>
      <c r="G53" s="272"/>
      <c r="H53" s="275"/>
      <c r="I53" s="256"/>
      <c r="J53" s="256"/>
    </row>
    <row r="54" spans="1:10" ht="22.5" outlineLevel="1">
      <c r="A54" s="276" t="s">
        <v>114</v>
      </c>
      <c r="B54" s="277" t="s">
        <v>115</v>
      </c>
      <c r="C54" s="277" t="s">
        <v>116</v>
      </c>
      <c r="D54" s="277" t="s">
        <v>117</v>
      </c>
      <c r="E54" s="278" t="s">
        <v>118</v>
      </c>
      <c r="F54" s="279" t="s">
        <v>48</v>
      </c>
      <c r="G54" s="277"/>
      <c r="H54" s="280"/>
      <c r="I54" s="256"/>
      <c r="J54" s="256"/>
    </row>
    <row r="55" spans="1:10" ht="12.75" outlineLevel="1">
      <c r="A55" s="281" t="s">
        <v>207</v>
      </c>
      <c r="B55" s="282"/>
      <c r="C55" s="282">
        <f>C50</f>
        <v>20000000</v>
      </c>
      <c r="D55" s="282"/>
      <c r="E55" s="284"/>
      <c r="F55" s="285"/>
      <c r="G55" s="282"/>
      <c r="H55" s="286"/>
      <c r="I55" s="256"/>
      <c r="J55" s="256"/>
    </row>
    <row r="56" spans="1:10" ht="12.75" outlineLevel="1">
      <c r="A56" s="307">
        <v>45747</v>
      </c>
      <c r="B56" s="282">
        <v>90</v>
      </c>
      <c r="C56" s="282">
        <f>C55-D56</f>
        <v>19750000</v>
      </c>
      <c r="D56" s="282">
        <v>250000</v>
      </c>
      <c r="E56" s="308">
        <f>$E$11+$E$12</f>
        <v>0.0664</v>
      </c>
      <c r="F56" s="285">
        <f>B56*C55*E56/I56</f>
        <v>327452.05479452055</v>
      </c>
      <c r="G56" s="282"/>
      <c r="H56" s="286"/>
      <c r="I56" s="256">
        <v>365</v>
      </c>
      <c r="J56" s="256"/>
    </row>
    <row r="57" spans="1:10" ht="12.75" outlineLevel="1">
      <c r="A57" s="307">
        <v>45838</v>
      </c>
      <c r="B57" s="282">
        <f>A57-A56</f>
        <v>91</v>
      </c>
      <c r="C57" s="282">
        <f>C56-D57</f>
        <v>19500000</v>
      </c>
      <c r="D57" s="282">
        <v>250000</v>
      </c>
      <c r="E57" s="308">
        <f>$E$11+$E$12</f>
        <v>0.0664</v>
      </c>
      <c r="F57" s="285">
        <f>B57*C56*E57/I57</f>
        <v>326951.7808219178</v>
      </c>
      <c r="G57" s="282"/>
      <c r="H57" s="286"/>
      <c r="I57" s="256">
        <v>365</v>
      </c>
      <c r="J57" s="256"/>
    </row>
    <row r="58" spans="1:10" ht="12.75" outlineLevel="1">
      <c r="A58" s="307">
        <v>45930</v>
      </c>
      <c r="B58" s="282">
        <f>A58-A57</f>
        <v>92</v>
      </c>
      <c r="C58" s="282">
        <f>C57-D58</f>
        <v>19250000</v>
      </c>
      <c r="D58" s="282">
        <v>250000</v>
      </c>
      <c r="E58" s="308">
        <f>$E$11+$E$12</f>
        <v>0.0664</v>
      </c>
      <c r="F58" s="285">
        <f>B58*C57*E58/I58</f>
        <v>326360.5479452055</v>
      </c>
      <c r="G58" s="282"/>
      <c r="H58" s="286"/>
      <c r="I58" s="256">
        <v>365</v>
      </c>
      <c r="J58" s="256"/>
    </row>
    <row r="59" spans="1:10" ht="12.75" outlineLevel="1">
      <c r="A59" s="307">
        <v>46022</v>
      </c>
      <c r="B59" s="282">
        <f>A59-A58</f>
        <v>92</v>
      </c>
      <c r="C59" s="282">
        <f>C58-D59</f>
        <v>19000000</v>
      </c>
      <c r="D59" s="282">
        <v>250000</v>
      </c>
      <c r="E59" s="308">
        <f>$E$11+$E$12</f>
        <v>0.0664</v>
      </c>
      <c r="F59" s="285">
        <f>B59*C58*E59/I59</f>
        <v>322176.4383561644</v>
      </c>
      <c r="G59" s="282"/>
      <c r="H59" s="286"/>
      <c r="I59" s="256">
        <v>365</v>
      </c>
      <c r="J59" s="256"/>
    </row>
    <row r="60" spans="1:10" ht="12.75" outlineLevel="1">
      <c r="A60" s="309"/>
      <c r="B60" s="288"/>
      <c r="C60" s="288">
        <f>C59</f>
        <v>19000000</v>
      </c>
      <c r="D60" s="288">
        <f>SUM(D56:D59)</f>
        <v>1000000</v>
      </c>
      <c r="E60" s="289"/>
      <c r="F60" s="274">
        <f>SUM(F56:F59)</f>
        <v>1302940.8219178081</v>
      </c>
      <c r="G60" s="288"/>
      <c r="H60" s="290"/>
      <c r="I60" s="256"/>
      <c r="J60" s="256"/>
    </row>
    <row r="61" spans="1:10" ht="12.75" outlineLevel="1">
      <c r="A61" s="291"/>
      <c r="B61" s="282"/>
      <c r="C61" s="282"/>
      <c r="D61" s="282"/>
      <c r="E61" s="284"/>
      <c r="F61" s="285"/>
      <c r="G61" s="282"/>
      <c r="H61" s="282"/>
      <c r="I61" s="256"/>
      <c r="J61" s="256"/>
    </row>
    <row r="62" spans="1:10" ht="12.75" outlineLevel="1">
      <c r="A62" s="864" t="s">
        <v>113</v>
      </c>
      <c r="B62" s="864"/>
      <c r="C62" s="864"/>
      <c r="D62" s="864"/>
      <c r="E62" s="864"/>
      <c r="F62" s="864"/>
      <c r="G62" s="864"/>
      <c r="H62" s="864"/>
      <c r="I62" s="256"/>
      <c r="J62" s="256"/>
    </row>
    <row r="63" spans="1:10" ht="12.75" outlineLevel="1">
      <c r="A63" s="271"/>
      <c r="B63" s="272"/>
      <c r="C63" s="272"/>
      <c r="D63" s="272"/>
      <c r="E63" s="273"/>
      <c r="F63" s="274"/>
      <c r="G63" s="272"/>
      <c r="H63" s="275"/>
      <c r="I63" s="256"/>
      <c r="J63" s="256"/>
    </row>
    <row r="64" spans="1:10" ht="22.5" outlineLevel="1">
      <c r="A64" s="276" t="s">
        <v>114</v>
      </c>
      <c r="B64" s="277" t="s">
        <v>115</v>
      </c>
      <c r="C64" s="277" t="s">
        <v>116</v>
      </c>
      <c r="D64" s="277" t="s">
        <v>117</v>
      </c>
      <c r="E64" s="278" t="s">
        <v>118</v>
      </c>
      <c r="F64" s="279" t="s">
        <v>48</v>
      </c>
      <c r="G64" s="277"/>
      <c r="H64" s="280"/>
      <c r="I64" s="256"/>
      <c r="J64" s="256"/>
    </row>
    <row r="65" spans="1:10" ht="12.75" outlineLevel="1">
      <c r="A65" s="281" t="s">
        <v>125</v>
      </c>
      <c r="B65" s="282"/>
      <c r="C65" s="282">
        <f>C60</f>
        <v>19000000</v>
      </c>
      <c r="D65" s="282"/>
      <c r="E65" s="284"/>
      <c r="F65" s="285"/>
      <c r="G65" s="282"/>
      <c r="H65" s="286"/>
      <c r="I65" s="256"/>
      <c r="J65" s="256"/>
    </row>
    <row r="66" spans="1:10" ht="12.75" outlineLevel="1">
      <c r="A66" s="307">
        <v>46112</v>
      </c>
      <c r="B66" s="282">
        <f>A66-A59</f>
        <v>90</v>
      </c>
      <c r="C66" s="282">
        <f>C65-D66</f>
        <v>18750000</v>
      </c>
      <c r="D66" s="282">
        <v>250000</v>
      </c>
      <c r="E66" s="308">
        <f>$E$11+$E$12</f>
        <v>0.0664</v>
      </c>
      <c r="F66" s="285">
        <f>B66*C65*E66/I66</f>
        <v>311079.4520547945</v>
      </c>
      <c r="G66" s="282"/>
      <c r="H66" s="286"/>
      <c r="I66" s="256">
        <v>365</v>
      </c>
      <c r="J66" s="256"/>
    </row>
    <row r="67" spans="1:10" ht="12.75" outlineLevel="1">
      <c r="A67" s="307">
        <v>46203</v>
      </c>
      <c r="B67" s="282">
        <f>A67-A66</f>
        <v>91</v>
      </c>
      <c r="C67" s="282">
        <f>C66-D67</f>
        <v>18500000</v>
      </c>
      <c r="D67" s="282">
        <v>250000</v>
      </c>
      <c r="E67" s="308">
        <f>$E$11+$E$12</f>
        <v>0.0664</v>
      </c>
      <c r="F67" s="285">
        <f>B67*C66*E67/I67</f>
        <v>310397.2602739726</v>
      </c>
      <c r="G67" s="282"/>
      <c r="H67" s="286"/>
      <c r="I67" s="256">
        <v>365</v>
      </c>
      <c r="J67" s="256"/>
    </row>
    <row r="68" spans="1:10" ht="12.75" outlineLevel="1">
      <c r="A68" s="307">
        <v>46295</v>
      </c>
      <c r="B68" s="282">
        <f>A68-A67</f>
        <v>92</v>
      </c>
      <c r="C68" s="282">
        <f>C67-D68</f>
        <v>18250000</v>
      </c>
      <c r="D68" s="282">
        <v>250000</v>
      </c>
      <c r="E68" s="308">
        <f>$E$11+$E$12</f>
        <v>0.0664</v>
      </c>
      <c r="F68" s="285">
        <f>B68*C67*E68/I68</f>
        <v>309624.1095890411</v>
      </c>
      <c r="G68" s="282"/>
      <c r="H68" s="286"/>
      <c r="I68" s="256">
        <v>365</v>
      </c>
      <c r="J68" s="256"/>
    </row>
    <row r="69" spans="1:10" ht="12.75" outlineLevel="1">
      <c r="A69" s="307">
        <v>46387</v>
      </c>
      <c r="B69" s="282">
        <f>A69-A68</f>
        <v>92</v>
      </c>
      <c r="C69" s="282">
        <f>C68-D69</f>
        <v>18000000</v>
      </c>
      <c r="D69" s="282">
        <v>250000</v>
      </c>
      <c r="E69" s="308">
        <f>$E$11+$E$12</f>
        <v>0.0664</v>
      </c>
      <c r="F69" s="285">
        <f>B69*C68*E69/I69</f>
        <v>305440</v>
      </c>
      <c r="G69" s="282"/>
      <c r="H69" s="286"/>
      <c r="I69" s="256">
        <v>365</v>
      </c>
      <c r="J69" s="256"/>
    </row>
    <row r="70" spans="1:10" ht="12.75" outlineLevel="1">
      <c r="A70" s="309"/>
      <c r="B70" s="288"/>
      <c r="C70" s="288">
        <f>C69</f>
        <v>18000000</v>
      </c>
      <c r="D70" s="288">
        <f>SUM(D66:D69)</f>
        <v>1000000</v>
      </c>
      <c r="E70" s="289"/>
      <c r="F70" s="274">
        <f>SUM(F66:F69)</f>
        <v>1236540.8219178081</v>
      </c>
      <c r="G70" s="288"/>
      <c r="H70" s="290"/>
      <c r="I70" s="256"/>
      <c r="J70" s="256"/>
    </row>
    <row r="71" spans="1:10" ht="12.75" outlineLevel="1">
      <c r="A71" s="291"/>
      <c r="B71" s="282"/>
      <c r="C71" s="282"/>
      <c r="D71" s="282"/>
      <c r="E71" s="284"/>
      <c r="F71" s="285"/>
      <c r="G71" s="282"/>
      <c r="H71" s="282"/>
      <c r="I71" s="256"/>
      <c r="J71" s="256"/>
    </row>
    <row r="72" spans="1:10" ht="12.75" outlineLevel="1">
      <c r="A72" s="864" t="s">
        <v>113</v>
      </c>
      <c r="B72" s="864"/>
      <c r="C72" s="864"/>
      <c r="D72" s="864"/>
      <c r="E72" s="864"/>
      <c r="F72" s="864"/>
      <c r="G72" s="864"/>
      <c r="H72" s="864"/>
      <c r="I72" s="256"/>
      <c r="J72" s="256"/>
    </row>
    <row r="73" spans="1:10" ht="12.75" outlineLevel="1">
      <c r="A73" s="271"/>
      <c r="B73" s="272"/>
      <c r="C73" s="272"/>
      <c r="D73" s="272"/>
      <c r="E73" s="273"/>
      <c r="F73" s="274"/>
      <c r="G73" s="272"/>
      <c r="H73" s="275"/>
      <c r="I73" s="256"/>
      <c r="J73" s="256"/>
    </row>
    <row r="74" spans="1:10" ht="22.5" outlineLevel="1">
      <c r="A74" s="276" t="s">
        <v>114</v>
      </c>
      <c r="B74" s="277" t="s">
        <v>115</v>
      </c>
      <c r="C74" s="277" t="s">
        <v>116</v>
      </c>
      <c r="D74" s="277" t="s">
        <v>117</v>
      </c>
      <c r="E74" s="278" t="s">
        <v>118</v>
      </c>
      <c r="F74" s="279" t="s">
        <v>48</v>
      </c>
      <c r="G74" s="277"/>
      <c r="H74" s="280"/>
      <c r="I74" s="256"/>
      <c r="J74" s="256"/>
    </row>
    <row r="75" spans="1:10" ht="12.75" outlineLevel="1">
      <c r="A75" s="281" t="s">
        <v>126</v>
      </c>
      <c r="B75" s="282"/>
      <c r="C75" s="282">
        <f>C70</f>
        <v>18000000</v>
      </c>
      <c r="D75" s="282"/>
      <c r="E75" s="284"/>
      <c r="F75" s="285"/>
      <c r="G75" s="282"/>
      <c r="H75" s="286"/>
      <c r="I75" s="256"/>
      <c r="J75" s="256"/>
    </row>
    <row r="76" spans="1:10" ht="12.75" outlineLevel="1">
      <c r="A76" s="307">
        <v>46477</v>
      </c>
      <c r="B76" s="282">
        <f>A76-A69</f>
        <v>90</v>
      </c>
      <c r="C76" s="282">
        <f>C75-D76</f>
        <v>17750000</v>
      </c>
      <c r="D76" s="282">
        <v>250000</v>
      </c>
      <c r="E76" s="308">
        <f>$E$11+$E$12</f>
        <v>0.0664</v>
      </c>
      <c r="F76" s="285">
        <f>B76*C75*E76/I76</f>
        <v>294706.8493150685</v>
      </c>
      <c r="G76" s="282"/>
      <c r="H76" s="286"/>
      <c r="I76" s="256">
        <v>365</v>
      </c>
      <c r="J76" s="256"/>
    </row>
    <row r="77" spans="1:10" ht="12.75" outlineLevel="1">
      <c r="A77" s="307">
        <v>46568</v>
      </c>
      <c r="B77" s="282">
        <f>A77-A76</f>
        <v>91</v>
      </c>
      <c r="C77" s="282">
        <f>C76-D77</f>
        <v>17500000</v>
      </c>
      <c r="D77" s="282">
        <v>250000</v>
      </c>
      <c r="E77" s="308">
        <f>$E$11+$E$12</f>
        <v>0.0664</v>
      </c>
      <c r="F77" s="285">
        <f>B77*C76*E77/I77</f>
        <v>293842.7397260274</v>
      </c>
      <c r="G77" s="282"/>
      <c r="H77" s="286"/>
      <c r="I77" s="256">
        <v>365</v>
      </c>
      <c r="J77" s="256"/>
    </row>
    <row r="78" spans="1:10" ht="12.75" outlineLevel="1">
      <c r="A78" s="307">
        <v>46660</v>
      </c>
      <c r="B78" s="282">
        <f>A78-A77</f>
        <v>92</v>
      </c>
      <c r="C78" s="282">
        <f>C77-D78</f>
        <v>17250000</v>
      </c>
      <c r="D78" s="282">
        <v>250000</v>
      </c>
      <c r="E78" s="308">
        <f>$E$11+$E$12</f>
        <v>0.0664</v>
      </c>
      <c r="F78" s="285">
        <f>B78*C77*E78/I78</f>
        <v>292887.6712328767</v>
      </c>
      <c r="G78" s="282"/>
      <c r="H78" s="286"/>
      <c r="I78" s="256">
        <v>365</v>
      </c>
      <c r="J78" s="256"/>
    </row>
    <row r="79" spans="1:10" ht="12.75" outlineLevel="1">
      <c r="A79" s="307">
        <v>46752</v>
      </c>
      <c r="B79" s="282">
        <f>A79-A78</f>
        <v>92</v>
      </c>
      <c r="C79" s="282">
        <f>C78-D79</f>
        <v>17000000</v>
      </c>
      <c r="D79" s="282">
        <v>250000</v>
      </c>
      <c r="E79" s="308">
        <f>$E$11+$E$12</f>
        <v>0.0664</v>
      </c>
      <c r="F79" s="285">
        <f>B79*C78*E79/I79</f>
        <v>288703.5616438356</v>
      </c>
      <c r="G79" s="282"/>
      <c r="H79" s="286"/>
      <c r="I79" s="256">
        <v>365</v>
      </c>
      <c r="J79" s="256"/>
    </row>
    <row r="80" spans="1:10" ht="12.75" outlineLevel="1">
      <c r="A80" s="309"/>
      <c r="B80" s="288"/>
      <c r="C80" s="288">
        <f>C79</f>
        <v>17000000</v>
      </c>
      <c r="D80" s="288">
        <f>SUM(D76:D79)</f>
        <v>1000000</v>
      </c>
      <c r="E80" s="289"/>
      <c r="F80" s="274">
        <f>SUM(F76:F79)</f>
        <v>1170140.8219178081</v>
      </c>
      <c r="G80" s="288"/>
      <c r="H80" s="290"/>
      <c r="I80" s="256"/>
      <c r="J80" s="256"/>
    </row>
    <row r="81" spans="1:10" ht="12.75" outlineLevel="1">
      <c r="A81" s="291"/>
      <c r="B81" s="282"/>
      <c r="C81" s="282"/>
      <c r="D81" s="282"/>
      <c r="E81" s="284"/>
      <c r="F81" s="285"/>
      <c r="G81" s="282"/>
      <c r="H81" s="282"/>
      <c r="I81" s="256"/>
      <c r="J81" s="256"/>
    </row>
    <row r="82" spans="1:10" ht="12.75" outlineLevel="1">
      <c r="A82" s="864" t="s">
        <v>113</v>
      </c>
      <c r="B82" s="864"/>
      <c r="C82" s="864"/>
      <c r="D82" s="864"/>
      <c r="E82" s="864"/>
      <c r="F82" s="864"/>
      <c r="G82" s="864"/>
      <c r="H82" s="864"/>
      <c r="I82" s="256"/>
      <c r="J82" s="256"/>
    </row>
    <row r="83" spans="1:10" ht="12.75" outlineLevel="1">
      <c r="A83" s="271"/>
      <c r="B83" s="272"/>
      <c r="C83" s="272"/>
      <c r="D83" s="272"/>
      <c r="E83" s="273"/>
      <c r="F83" s="274"/>
      <c r="G83" s="272"/>
      <c r="H83" s="275"/>
      <c r="I83" s="256"/>
      <c r="J83" s="256"/>
    </row>
    <row r="84" spans="1:10" ht="22.5" outlineLevel="1">
      <c r="A84" s="276" t="s">
        <v>114</v>
      </c>
      <c r="B84" s="277" t="s">
        <v>115</v>
      </c>
      <c r="C84" s="277" t="s">
        <v>116</v>
      </c>
      <c r="D84" s="277" t="s">
        <v>117</v>
      </c>
      <c r="E84" s="278" t="s">
        <v>118</v>
      </c>
      <c r="F84" s="279" t="s">
        <v>48</v>
      </c>
      <c r="G84" s="277"/>
      <c r="H84" s="280"/>
      <c r="I84" s="256"/>
      <c r="J84" s="256"/>
    </row>
    <row r="85" spans="1:10" ht="12.75" outlineLevel="1">
      <c r="A85" s="281" t="s">
        <v>127</v>
      </c>
      <c r="B85" s="282"/>
      <c r="C85" s="282">
        <f>C80</f>
        <v>17000000</v>
      </c>
      <c r="D85" s="282"/>
      <c r="E85" s="284"/>
      <c r="F85" s="285"/>
      <c r="G85" s="282"/>
      <c r="H85" s="286"/>
      <c r="I85" s="256"/>
      <c r="J85" s="256"/>
    </row>
    <row r="86" spans="1:10" ht="12.75" outlineLevel="1">
      <c r="A86" s="307">
        <v>46843</v>
      </c>
      <c r="B86" s="282">
        <f>A86-A79</f>
        <v>91</v>
      </c>
      <c r="C86" s="282">
        <f>C85-D86</f>
        <v>16750000</v>
      </c>
      <c r="D86" s="282">
        <v>250000</v>
      </c>
      <c r="E86" s="308">
        <f>$E$11+$E$12</f>
        <v>0.0664</v>
      </c>
      <c r="F86" s="285">
        <f>B86*C85*E86/I86</f>
        <v>280657.92349726777</v>
      </c>
      <c r="G86" s="282"/>
      <c r="H86" s="286"/>
      <c r="I86" s="256">
        <v>366</v>
      </c>
      <c r="J86" s="256"/>
    </row>
    <row r="87" spans="1:10" ht="12.75" outlineLevel="1">
      <c r="A87" s="307">
        <v>46934</v>
      </c>
      <c r="B87" s="282">
        <f>A87-A86</f>
        <v>91</v>
      </c>
      <c r="C87" s="282">
        <f>C86-D87</f>
        <v>16500000</v>
      </c>
      <c r="D87" s="282">
        <v>250000</v>
      </c>
      <c r="E87" s="308">
        <f>$E$11+$E$12</f>
        <v>0.0664</v>
      </c>
      <c r="F87" s="285">
        <f>B87*C86*E87/I87</f>
        <v>276530.6010928962</v>
      </c>
      <c r="G87" s="282"/>
      <c r="H87" s="286"/>
      <c r="I87" s="256">
        <v>366</v>
      </c>
      <c r="J87" s="256"/>
    </row>
    <row r="88" spans="1:10" ht="12.75" outlineLevel="1">
      <c r="A88" s="307">
        <v>47026</v>
      </c>
      <c r="B88" s="282">
        <f>A88-A87</f>
        <v>92</v>
      </c>
      <c r="C88" s="282">
        <f>C87-D88</f>
        <v>16250000</v>
      </c>
      <c r="D88" s="282">
        <v>250000</v>
      </c>
      <c r="E88" s="308">
        <f>$E$11+$E$12</f>
        <v>0.0664</v>
      </c>
      <c r="F88" s="285">
        <f>B88*C87*E88/I88</f>
        <v>275396.7213114754</v>
      </c>
      <c r="G88" s="282"/>
      <c r="H88" s="286"/>
      <c r="I88" s="256">
        <v>366</v>
      </c>
      <c r="J88" s="256"/>
    </row>
    <row r="89" spans="1:10" ht="12.75" outlineLevel="1">
      <c r="A89" s="307">
        <v>47118</v>
      </c>
      <c r="B89" s="282">
        <f>A89-A88</f>
        <v>92</v>
      </c>
      <c r="C89" s="282">
        <f>C88-D89</f>
        <v>16000000</v>
      </c>
      <c r="D89" s="282">
        <v>250000</v>
      </c>
      <c r="E89" s="308">
        <f>$E$11+$E$12</f>
        <v>0.0664</v>
      </c>
      <c r="F89" s="285">
        <f>B89*C88*E89/I89</f>
        <v>271224.043715847</v>
      </c>
      <c r="G89" s="282"/>
      <c r="H89" s="286"/>
      <c r="I89" s="256">
        <v>366</v>
      </c>
      <c r="J89" s="256"/>
    </row>
    <row r="90" spans="1:10" ht="12.75" outlineLevel="1">
      <c r="A90" s="309"/>
      <c r="B90" s="288"/>
      <c r="C90" s="288">
        <f>C89</f>
        <v>16000000</v>
      </c>
      <c r="D90" s="288">
        <f>SUM(D86:D89)</f>
        <v>1000000</v>
      </c>
      <c r="E90" s="289"/>
      <c r="F90" s="274">
        <f>SUM(F86:F89)</f>
        <v>1103809.2896174863</v>
      </c>
      <c r="G90" s="288"/>
      <c r="H90" s="290"/>
      <c r="I90" s="256"/>
      <c r="J90" s="256"/>
    </row>
    <row r="91" spans="1:10" ht="12.75" outlineLevel="1">
      <c r="A91" s="291"/>
      <c r="B91" s="282"/>
      <c r="C91" s="282"/>
      <c r="D91" s="282"/>
      <c r="E91" s="284"/>
      <c r="F91" s="285"/>
      <c r="G91" s="282"/>
      <c r="H91" s="282"/>
      <c r="I91" s="256"/>
      <c r="J91" s="256"/>
    </row>
    <row r="92" spans="1:10" ht="12.75" outlineLevel="1">
      <c r="A92" s="864" t="s">
        <v>113</v>
      </c>
      <c r="B92" s="864"/>
      <c r="C92" s="864"/>
      <c r="D92" s="864"/>
      <c r="E92" s="864"/>
      <c r="F92" s="864"/>
      <c r="G92" s="864"/>
      <c r="H92" s="864"/>
      <c r="I92" s="256"/>
      <c r="J92" s="256"/>
    </row>
    <row r="93" spans="1:10" ht="12.75" outlineLevel="1">
      <c r="A93" s="271"/>
      <c r="B93" s="272"/>
      <c r="C93" s="272"/>
      <c r="D93" s="272"/>
      <c r="E93" s="273"/>
      <c r="F93" s="274"/>
      <c r="G93" s="272"/>
      <c r="H93" s="275"/>
      <c r="I93" s="256"/>
      <c r="J93" s="256"/>
    </row>
    <row r="94" spans="1:10" ht="22.5" outlineLevel="1">
      <c r="A94" s="276" t="s">
        <v>114</v>
      </c>
      <c r="B94" s="277" t="s">
        <v>115</v>
      </c>
      <c r="C94" s="277" t="s">
        <v>116</v>
      </c>
      <c r="D94" s="277" t="s">
        <v>117</v>
      </c>
      <c r="E94" s="278" t="s">
        <v>118</v>
      </c>
      <c r="F94" s="279" t="s">
        <v>48</v>
      </c>
      <c r="G94" s="277"/>
      <c r="H94" s="280"/>
      <c r="I94" s="256"/>
      <c r="J94" s="256"/>
    </row>
    <row r="95" spans="1:10" ht="12.75" outlineLevel="1">
      <c r="A95" s="281" t="s">
        <v>128</v>
      </c>
      <c r="B95" s="282"/>
      <c r="C95" s="282">
        <f>C90</f>
        <v>16000000</v>
      </c>
      <c r="D95" s="282"/>
      <c r="E95" s="284"/>
      <c r="F95" s="285"/>
      <c r="G95" s="282"/>
      <c r="H95" s="286"/>
      <c r="I95" s="256"/>
      <c r="J95" s="256"/>
    </row>
    <row r="96" spans="1:10" ht="12.75" outlineLevel="1">
      <c r="A96" s="307">
        <v>47208</v>
      </c>
      <c r="B96" s="282">
        <v>90</v>
      </c>
      <c r="C96" s="282">
        <f>C95-D96</f>
        <v>15750000</v>
      </c>
      <c r="D96" s="282">
        <v>250000</v>
      </c>
      <c r="E96" s="308">
        <f>$E$11+$E$12</f>
        <v>0.0664</v>
      </c>
      <c r="F96" s="285">
        <f>B96*C95*E96/I96</f>
        <v>261961.64383561644</v>
      </c>
      <c r="G96" s="282"/>
      <c r="H96" s="286"/>
      <c r="I96" s="256">
        <v>365</v>
      </c>
      <c r="J96" s="256"/>
    </row>
    <row r="97" spans="1:10" ht="12.75" outlineLevel="1">
      <c r="A97" s="307">
        <v>47299</v>
      </c>
      <c r="B97" s="282">
        <f>A97-A96</f>
        <v>91</v>
      </c>
      <c r="C97" s="282">
        <f>C96-D97</f>
        <v>15500000</v>
      </c>
      <c r="D97" s="282">
        <v>250000</v>
      </c>
      <c r="E97" s="308">
        <f>$E$11+$E$12</f>
        <v>0.0664</v>
      </c>
      <c r="F97" s="285">
        <f>B97*C96*E97/I97</f>
        <v>260733.698630137</v>
      </c>
      <c r="G97" s="282"/>
      <c r="H97" s="286"/>
      <c r="I97" s="256">
        <v>365</v>
      </c>
      <c r="J97" s="256"/>
    </row>
    <row r="98" spans="1:10" ht="12.75" outlineLevel="1">
      <c r="A98" s="307">
        <v>47391</v>
      </c>
      <c r="B98" s="282">
        <f>A98-A97</f>
        <v>92</v>
      </c>
      <c r="C98" s="282">
        <f>C97-D98</f>
        <v>15250000</v>
      </c>
      <c r="D98" s="282">
        <v>250000</v>
      </c>
      <c r="E98" s="308">
        <f>$E$11+$E$12</f>
        <v>0.0664</v>
      </c>
      <c r="F98" s="285">
        <f>B98*C97*E98/I98</f>
        <v>259414.79452054793</v>
      </c>
      <c r="G98" s="282"/>
      <c r="H98" s="286"/>
      <c r="I98" s="256">
        <v>365</v>
      </c>
      <c r="J98" s="256"/>
    </row>
    <row r="99" spans="1:10" ht="12.75" outlineLevel="1">
      <c r="A99" s="307">
        <v>47483</v>
      </c>
      <c r="B99" s="282">
        <f>A99-A98</f>
        <v>92</v>
      </c>
      <c r="C99" s="282">
        <f>C98-D99</f>
        <v>15000000</v>
      </c>
      <c r="D99" s="282">
        <v>250000</v>
      </c>
      <c r="E99" s="308">
        <f>$E$11+$E$12</f>
        <v>0.0664</v>
      </c>
      <c r="F99" s="285">
        <f>B99*C98*E99/I99</f>
        <v>255230.68493150684</v>
      </c>
      <c r="G99" s="282"/>
      <c r="H99" s="286"/>
      <c r="I99" s="256">
        <v>365</v>
      </c>
      <c r="J99" s="256"/>
    </row>
    <row r="100" spans="1:10" ht="12.75" outlineLevel="1">
      <c r="A100" s="309"/>
      <c r="B100" s="288"/>
      <c r="C100" s="288">
        <f>C99</f>
        <v>15000000</v>
      </c>
      <c r="D100" s="288">
        <f>SUM(D96:D99)</f>
        <v>1000000</v>
      </c>
      <c r="E100" s="289"/>
      <c r="F100" s="274">
        <f>SUM(F96:F99)</f>
        <v>1037340.8219178083</v>
      </c>
      <c r="G100" s="288"/>
      <c r="H100" s="290"/>
      <c r="I100" s="256"/>
      <c r="J100" s="256"/>
    </row>
    <row r="101" spans="1:10" ht="12.75" outlineLevel="1">
      <c r="A101" s="291"/>
      <c r="B101" s="282"/>
      <c r="C101" s="282"/>
      <c r="D101" s="282"/>
      <c r="E101" s="284"/>
      <c r="F101" s="285"/>
      <c r="G101" s="282"/>
      <c r="H101" s="282"/>
      <c r="I101" s="256"/>
      <c r="J101" s="256"/>
    </row>
    <row r="102" spans="1:10" ht="12.75" outlineLevel="1">
      <c r="A102" s="864" t="s">
        <v>113</v>
      </c>
      <c r="B102" s="864"/>
      <c r="C102" s="864"/>
      <c r="D102" s="864"/>
      <c r="E102" s="864"/>
      <c r="F102" s="864"/>
      <c r="G102" s="864"/>
      <c r="H102" s="864"/>
      <c r="I102" s="256"/>
      <c r="J102" s="256"/>
    </row>
    <row r="103" spans="1:10" ht="12.75" outlineLevel="1">
      <c r="A103" s="271"/>
      <c r="B103" s="272"/>
      <c r="C103" s="272"/>
      <c r="D103" s="272"/>
      <c r="E103" s="273"/>
      <c r="F103" s="274"/>
      <c r="G103" s="272"/>
      <c r="H103" s="275"/>
      <c r="I103" s="256"/>
      <c r="J103" s="256"/>
    </row>
    <row r="104" spans="1:10" ht="22.5" outlineLevel="1">
      <c r="A104" s="276" t="s">
        <v>114</v>
      </c>
      <c r="B104" s="277" t="s">
        <v>115</v>
      </c>
      <c r="C104" s="277" t="s">
        <v>116</v>
      </c>
      <c r="D104" s="277" t="s">
        <v>117</v>
      </c>
      <c r="E104" s="278" t="s">
        <v>118</v>
      </c>
      <c r="F104" s="279" t="s">
        <v>48</v>
      </c>
      <c r="G104" s="277"/>
      <c r="H104" s="280"/>
      <c r="I104" s="256"/>
      <c r="J104" s="256"/>
    </row>
    <row r="105" spans="1:10" ht="12.75" outlineLevel="1">
      <c r="A105" s="281" t="s">
        <v>208</v>
      </c>
      <c r="B105" s="282"/>
      <c r="C105" s="282">
        <f>C100</f>
        <v>15000000</v>
      </c>
      <c r="D105" s="282"/>
      <c r="E105" s="284"/>
      <c r="F105" s="285"/>
      <c r="G105" s="282"/>
      <c r="H105" s="286"/>
      <c r="I105" s="256"/>
      <c r="J105" s="256"/>
    </row>
    <row r="106" spans="1:10" ht="12.75" outlineLevel="1">
      <c r="A106" s="307">
        <v>47573</v>
      </c>
      <c r="B106" s="282">
        <f>A106-A99</f>
        <v>90</v>
      </c>
      <c r="C106" s="282">
        <f>C105-D106</f>
        <v>14750000</v>
      </c>
      <c r="D106" s="282">
        <v>250000</v>
      </c>
      <c r="E106" s="308">
        <f>$E$11+$E$12</f>
        <v>0.0664</v>
      </c>
      <c r="F106" s="285">
        <f>B106*C105*E106/I106</f>
        <v>245589.04109589042</v>
      </c>
      <c r="G106" s="282"/>
      <c r="H106" s="286"/>
      <c r="I106" s="256">
        <v>365</v>
      </c>
      <c r="J106" s="256"/>
    </row>
    <row r="107" spans="1:10" ht="12.75" outlineLevel="1">
      <c r="A107" s="307">
        <v>47664</v>
      </c>
      <c r="B107" s="282">
        <f>A107-A106</f>
        <v>91</v>
      </c>
      <c r="C107" s="282">
        <f>C106-D107</f>
        <v>14500000</v>
      </c>
      <c r="D107" s="282">
        <v>250000</v>
      </c>
      <c r="E107" s="308">
        <f>$E$11+$E$12</f>
        <v>0.0664</v>
      </c>
      <c r="F107" s="285">
        <f>B107*C106*E107/I107</f>
        <v>244179.1780821918</v>
      </c>
      <c r="G107" s="282"/>
      <c r="H107" s="286"/>
      <c r="I107" s="256">
        <v>365</v>
      </c>
      <c r="J107" s="256"/>
    </row>
    <row r="108" spans="1:10" ht="12.75" outlineLevel="1">
      <c r="A108" s="307">
        <v>47756</v>
      </c>
      <c r="B108" s="282">
        <f>A108-A107</f>
        <v>92</v>
      </c>
      <c r="C108" s="282">
        <f>C107-D108</f>
        <v>14250000</v>
      </c>
      <c r="D108" s="282">
        <v>250000</v>
      </c>
      <c r="E108" s="308">
        <f>$E$11+$E$12</f>
        <v>0.0664</v>
      </c>
      <c r="F108" s="285">
        <f>B108*C107*E108/I108</f>
        <v>242678.35616438356</v>
      </c>
      <c r="G108" s="282"/>
      <c r="H108" s="286"/>
      <c r="I108" s="256">
        <v>365</v>
      </c>
      <c r="J108" s="256"/>
    </row>
    <row r="109" spans="1:10" ht="12.75" outlineLevel="1">
      <c r="A109" s="307">
        <v>47848</v>
      </c>
      <c r="B109" s="282">
        <f>A109-A108</f>
        <v>92</v>
      </c>
      <c r="C109" s="282">
        <f>C108-D109</f>
        <v>14000000</v>
      </c>
      <c r="D109" s="282">
        <v>250000</v>
      </c>
      <c r="E109" s="308">
        <f>$E$11+$E$12</f>
        <v>0.0664</v>
      </c>
      <c r="F109" s="285">
        <f>B109*C108*E109/I109</f>
        <v>238494.24657534246</v>
      </c>
      <c r="G109" s="282"/>
      <c r="H109" s="286"/>
      <c r="I109" s="256">
        <v>365</v>
      </c>
      <c r="J109" s="256"/>
    </row>
    <row r="110" spans="1:10" ht="12.75" outlineLevel="1">
      <c r="A110" s="309"/>
      <c r="B110" s="288"/>
      <c r="C110" s="288">
        <f>C109</f>
        <v>14000000</v>
      </c>
      <c r="D110" s="288">
        <f>SUM(D106:D109)</f>
        <v>1000000</v>
      </c>
      <c r="E110" s="289"/>
      <c r="F110" s="274">
        <f>SUM(F106:F109)</f>
        <v>970940.8219178083</v>
      </c>
      <c r="G110" s="288"/>
      <c r="H110" s="290"/>
      <c r="I110" s="256"/>
      <c r="J110" s="256"/>
    </row>
    <row r="111" spans="1:10" ht="12.75" outlineLevel="1">
      <c r="A111" s="291"/>
      <c r="B111" s="282"/>
      <c r="C111" s="282"/>
      <c r="D111" s="282"/>
      <c r="E111" s="284"/>
      <c r="F111" s="285"/>
      <c r="G111" s="282"/>
      <c r="H111" s="282"/>
      <c r="I111" s="256"/>
      <c r="J111" s="256"/>
    </row>
    <row r="112" spans="1:10" ht="12.75" outlineLevel="1">
      <c r="A112" s="864" t="s">
        <v>113</v>
      </c>
      <c r="B112" s="864"/>
      <c r="C112" s="864"/>
      <c r="D112" s="864"/>
      <c r="E112" s="864"/>
      <c r="F112" s="864"/>
      <c r="G112" s="864"/>
      <c r="H112" s="864"/>
      <c r="I112" s="256"/>
      <c r="J112" s="256"/>
    </row>
    <row r="113" spans="1:10" ht="12.75" outlineLevel="1">
      <c r="A113" s="271"/>
      <c r="B113" s="272"/>
      <c r="C113" s="272"/>
      <c r="D113" s="272"/>
      <c r="E113" s="273"/>
      <c r="F113" s="274"/>
      <c r="G113" s="272"/>
      <c r="H113" s="275"/>
      <c r="I113" s="256"/>
      <c r="J113" s="256"/>
    </row>
    <row r="114" spans="1:10" ht="22.5" outlineLevel="1">
      <c r="A114" s="276" t="s">
        <v>114</v>
      </c>
      <c r="B114" s="277" t="s">
        <v>115</v>
      </c>
      <c r="C114" s="277" t="s">
        <v>116</v>
      </c>
      <c r="D114" s="277" t="s">
        <v>117</v>
      </c>
      <c r="E114" s="278" t="s">
        <v>118</v>
      </c>
      <c r="F114" s="279" t="s">
        <v>48</v>
      </c>
      <c r="G114" s="277"/>
      <c r="H114" s="280"/>
      <c r="I114" s="256"/>
      <c r="J114" s="256"/>
    </row>
    <row r="115" spans="1:10" ht="12.75" outlineLevel="1">
      <c r="A115" s="281" t="s">
        <v>130</v>
      </c>
      <c r="B115" s="282"/>
      <c r="C115" s="282">
        <f>C110</f>
        <v>14000000</v>
      </c>
      <c r="D115" s="282"/>
      <c r="E115" s="284"/>
      <c r="F115" s="285"/>
      <c r="G115" s="282"/>
      <c r="H115" s="286"/>
      <c r="I115" s="256"/>
      <c r="J115" s="256"/>
    </row>
    <row r="116" spans="1:10" ht="12.75" outlineLevel="1">
      <c r="A116" s="307">
        <v>47938</v>
      </c>
      <c r="B116" s="282">
        <f>A116-A109</f>
        <v>90</v>
      </c>
      <c r="C116" s="282">
        <f>C115-D116</f>
        <v>13750000</v>
      </c>
      <c r="D116" s="282">
        <v>250000</v>
      </c>
      <c r="E116" s="308">
        <f>$E$11+$E$12</f>
        <v>0.0664</v>
      </c>
      <c r="F116" s="285">
        <f>B116*C115*E116/I116</f>
        <v>229216.43835616438</v>
      </c>
      <c r="G116" s="282"/>
      <c r="H116" s="286"/>
      <c r="I116" s="256">
        <v>365</v>
      </c>
      <c r="J116" s="256"/>
    </row>
    <row r="117" spans="1:10" ht="12.75" outlineLevel="1">
      <c r="A117" s="307">
        <v>48029</v>
      </c>
      <c r="B117" s="282">
        <f>A117-A116</f>
        <v>91</v>
      </c>
      <c r="C117" s="282">
        <f>C116-D117</f>
        <v>13500000</v>
      </c>
      <c r="D117" s="282">
        <v>250000</v>
      </c>
      <c r="E117" s="308">
        <f>$E$11+$E$12</f>
        <v>0.0664</v>
      </c>
      <c r="F117" s="285">
        <f>B117*C116*E117/I117</f>
        <v>227624.65753424657</v>
      </c>
      <c r="G117" s="282"/>
      <c r="H117" s="286"/>
      <c r="I117" s="256">
        <v>365</v>
      </c>
      <c r="J117" s="256"/>
    </row>
    <row r="118" spans="1:10" ht="12.75" outlineLevel="1">
      <c r="A118" s="307">
        <v>48121</v>
      </c>
      <c r="B118" s="282">
        <f>A118-A117</f>
        <v>92</v>
      </c>
      <c r="C118" s="282">
        <f>C117-D118</f>
        <v>13250000</v>
      </c>
      <c r="D118" s="282">
        <v>250000</v>
      </c>
      <c r="E118" s="308">
        <f>$E$11+$E$12</f>
        <v>0.0664</v>
      </c>
      <c r="F118" s="285">
        <f>B118*C117*E118/I118</f>
        <v>225941.91780821918</v>
      </c>
      <c r="G118" s="282"/>
      <c r="H118" s="286"/>
      <c r="I118" s="256">
        <v>365</v>
      </c>
      <c r="J118" s="256"/>
    </row>
    <row r="119" spans="1:10" ht="12.75" outlineLevel="1">
      <c r="A119" s="307">
        <v>48213</v>
      </c>
      <c r="B119" s="282">
        <f>A119-A118</f>
        <v>92</v>
      </c>
      <c r="C119" s="282">
        <f>C118-D119</f>
        <v>13000000</v>
      </c>
      <c r="D119" s="282">
        <v>250000</v>
      </c>
      <c r="E119" s="308">
        <f>$E$11+$E$12</f>
        <v>0.0664</v>
      </c>
      <c r="F119" s="285">
        <f>B119*C118*E119/I119</f>
        <v>221757.80821917808</v>
      </c>
      <c r="G119" s="282"/>
      <c r="H119" s="286"/>
      <c r="I119" s="256">
        <v>365</v>
      </c>
      <c r="J119" s="256"/>
    </row>
    <row r="120" spans="1:10" ht="12.75" outlineLevel="1">
      <c r="A120" s="309"/>
      <c r="B120" s="288"/>
      <c r="C120" s="288">
        <f>C119</f>
        <v>13000000</v>
      </c>
      <c r="D120" s="288">
        <f>SUM(D116:D119)</f>
        <v>1000000</v>
      </c>
      <c r="E120" s="289"/>
      <c r="F120" s="274">
        <f>SUM(F116:F119)</f>
        <v>904540.8219178083</v>
      </c>
      <c r="G120" s="288"/>
      <c r="H120" s="290"/>
      <c r="I120" s="256"/>
      <c r="J120" s="256"/>
    </row>
    <row r="121" spans="1:10" ht="12.75" outlineLevel="1">
      <c r="A121" s="256"/>
      <c r="B121" s="255"/>
      <c r="C121" s="255"/>
      <c r="D121" s="255"/>
      <c r="E121" s="257"/>
      <c r="F121" s="258"/>
      <c r="G121" s="255"/>
      <c r="H121" s="255"/>
      <c r="I121" s="256"/>
      <c r="J121" s="256"/>
    </row>
    <row r="122" spans="1:10" ht="12.75" outlineLevel="1">
      <c r="A122" s="864" t="s">
        <v>113</v>
      </c>
      <c r="B122" s="864"/>
      <c r="C122" s="864"/>
      <c r="D122" s="864"/>
      <c r="E122" s="864"/>
      <c r="F122" s="864"/>
      <c r="G122" s="864"/>
      <c r="H122" s="864"/>
      <c r="I122" s="256"/>
      <c r="J122" s="256"/>
    </row>
    <row r="123" spans="1:10" ht="12.75" outlineLevel="1">
      <c r="A123" s="271"/>
      <c r="B123" s="272"/>
      <c r="C123" s="272"/>
      <c r="D123" s="272"/>
      <c r="E123" s="273"/>
      <c r="F123" s="274"/>
      <c r="G123" s="272"/>
      <c r="H123" s="275"/>
      <c r="I123" s="256"/>
      <c r="J123" s="256"/>
    </row>
    <row r="124" spans="1:10" ht="22.5" outlineLevel="1">
      <c r="A124" s="276" t="s">
        <v>114</v>
      </c>
      <c r="B124" s="277" t="s">
        <v>115</v>
      </c>
      <c r="C124" s="277" t="s">
        <v>116</v>
      </c>
      <c r="D124" s="277" t="s">
        <v>117</v>
      </c>
      <c r="E124" s="278" t="s">
        <v>118</v>
      </c>
      <c r="F124" s="279" t="s">
        <v>48</v>
      </c>
      <c r="G124" s="277"/>
      <c r="H124" s="280"/>
      <c r="I124" s="256"/>
      <c r="J124" s="256"/>
    </row>
    <row r="125" spans="1:10" ht="12.75" outlineLevel="1">
      <c r="A125" s="281" t="s">
        <v>131</v>
      </c>
      <c r="B125" s="282"/>
      <c r="C125" s="282">
        <f>C120</f>
        <v>13000000</v>
      </c>
      <c r="D125" s="282"/>
      <c r="E125" s="284"/>
      <c r="F125" s="285"/>
      <c r="G125" s="282"/>
      <c r="H125" s="286"/>
      <c r="I125" s="256"/>
      <c r="J125" s="256"/>
    </row>
    <row r="126" spans="1:10" ht="12.75" outlineLevel="1">
      <c r="A126" s="307">
        <v>48304</v>
      </c>
      <c r="B126" s="282">
        <f>A126-A119</f>
        <v>91</v>
      </c>
      <c r="C126" s="282">
        <f>C125-D126</f>
        <v>12750000</v>
      </c>
      <c r="D126" s="282">
        <v>250000</v>
      </c>
      <c r="E126" s="308">
        <f>$E$11+$E$12</f>
        <v>0.0664</v>
      </c>
      <c r="F126" s="285">
        <f>B126*C125*E126/I126</f>
        <v>214620.7650273224</v>
      </c>
      <c r="G126" s="282"/>
      <c r="H126" s="286"/>
      <c r="I126" s="256">
        <v>366</v>
      </c>
      <c r="J126" s="256"/>
    </row>
    <row r="127" spans="1:10" ht="12.75" outlineLevel="1">
      <c r="A127" s="307">
        <v>48395</v>
      </c>
      <c r="B127" s="282">
        <f>A127-A126</f>
        <v>91</v>
      </c>
      <c r="C127" s="282">
        <f>C126-D127</f>
        <v>12500000</v>
      </c>
      <c r="D127" s="282">
        <v>250000</v>
      </c>
      <c r="E127" s="308">
        <f>$E$11+$E$12</f>
        <v>0.0664</v>
      </c>
      <c r="F127" s="285">
        <f>B127*C126*E127/I127</f>
        <v>210493.44262295082</v>
      </c>
      <c r="G127" s="282"/>
      <c r="H127" s="286"/>
      <c r="I127" s="256">
        <v>366</v>
      </c>
      <c r="J127" s="256"/>
    </row>
    <row r="128" spans="1:10" ht="12.75" outlineLevel="1">
      <c r="A128" s="307">
        <v>48487</v>
      </c>
      <c r="B128" s="282">
        <f>A128-A127</f>
        <v>92</v>
      </c>
      <c r="C128" s="282">
        <f>C127-D128</f>
        <v>12250000</v>
      </c>
      <c r="D128" s="282">
        <v>250000</v>
      </c>
      <c r="E128" s="308">
        <f>$E$11+$E$12</f>
        <v>0.0664</v>
      </c>
      <c r="F128" s="285">
        <f>B128*C127*E128/I128</f>
        <v>208633.87978142078</v>
      </c>
      <c r="G128" s="282"/>
      <c r="H128" s="286"/>
      <c r="I128" s="256">
        <v>366</v>
      </c>
      <c r="J128" s="256"/>
    </row>
    <row r="129" spans="1:10" ht="12.75" outlineLevel="1">
      <c r="A129" s="307">
        <v>48579</v>
      </c>
      <c r="B129" s="282">
        <f>A129-A128</f>
        <v>92</v>
      </c>
      <c r="C129" s="282">
        <f>C128-D129</f>
        <v>12000000</v>
      </c>
      <c r="D129" s="282">
        <v>250000</v>
      </c>
      <c r="E129" s="308">
        <f>$E$11+$E$12</f>
        <v>0.0664</v>
      </c>
      <c r="F129" s="285">
        <f>B129*C128*E129/I129</f>
        <v>204461.20218579235</v>
      </c>
      <c r="G129" s="282"/>
      <c r="H129" s="286"/>
      <c r="I129" s="256">
        <v>366</v>
      </c>
      <c r="J129" s="256"/>
    </row>
    <row r="130" spans="1:10" ht="12.75" outlineLevel="1">
      <c r="A130" s="309"/>
      <c r="B130" s="288"/>
      <c r="C130" s="288">
        <f>C129</f>
        <v>12000000</v>
      </c>
      <c r="D130" s="288">
        <f>SUM(D126:D129)</f>
        <v>1000000</v>
      </c>
      <c r="E130" s="289"/>
      <c r="F130" s="274">
        <f>SUM(F126:F129)</f>
        <v>838209.2896174864</v>
      </c>
      <c r="G130" s="288"/>
      <c r="H130" s="290"/>
      <c r="I130" s="256"/>
      <c r="J130" s="256"/>
    </row>
    <row r="131" spans="1:10" ht="12.75" outlineLevel="1">
      <c r="A131" s="310"/>
      <c r="B131" s="311"/>
      <c r="C131" s="311"/>
      <c r="D131" s="312"/>
      <c r="E131" s="312"/>
      <c r="F131" s="312"/>
      <c r="G131" s="311"/>
      <c r="H131" s="313"/>
      <c r="I131" s="256"/>
      <c r="J131" s="256"/>
    </row>
    <row r="132" spans="1:10" ht="12.75" outlineLevel="1">
      <c r="A132" s="864" t="s">
        <v>113</v>
      </c>
      <c r="B132" s="864"/>
      <c r="C132" s="864"/>
      <c r="D132" s="864"/>
      <c r="E132" s="864"/>
      <c r="F132" s="864"/>
      <c r="G132" s="864"/>
      <c r="H132" s="864"/>
      <c r="I132" s="256"/>
      <c r="J132" s="256"/>
    </row>
    <row r="133" spans="1:10" ht="12.75" outlineLevel="1">
      <c r="A133" s="271"/>
      <c r="B133" s="272"/>
      <c r="C133" s="272"/>
      <c r="D133" s="272"/>
      <c r="E133" s="273"/>
      <c r="F133" s="274"/>
      <c r="G133" s="272"/>
      <c r="H133" s="275"/>
      <c r="I133" s="256"/>
      <c r="J133" s="256"/>
    </row>
    <row r="134" spans="1:10" ht="22.5" outlineLevel="1">
      <c r="A134" s="276" t="s">
        <v>114</v>
      </c>
      <c r="B134" s="277" t="s">
        <v>115</v>
      </c>
      <c r="C134" s="277" t="s">
        <v>116</v>
      </c>
      <c r="D134" s="277" t="s">
        <v>117</v>
      </c>
      <c r="E134" s="278" t="s">
        <v>118</v>
      </c>
      <c r="F134" s="279" t="s">
        <v>48</v>
      </c>
      <c r="G134" s="277"/>
      <c r="H134" s="280"/>
      <c r="I134" s="256"/>
      <c r="J134" s="256"/>
    </row>
    <row r="135" spans="1:10" ht="12.75" outlineLevel="1">
      <c r="A135" s="281" t="s">
        <v>132</v>
      </c>
      <c r="B135" s="282"/>
      <c r="C135" s="282">
        <f>C130</f>
        <v>12000000</v>
      </c>
      <c r="D135" s="282"/>
      <c r="E135" s="284"/>
      <c r="F135" s="285"/>
      <c r="G135" s="282"/>
      <c r="H135" s="286"/>
      <c r="I135" s="256"/>
      <c r="J135" s="256"/>
    </row>
    <row r="136" spans="1:10" ht="12.75" outlineLevel="1">
      <c r="A136" s="307">
        <v>48669</v>
      </c>
      <c r="B136" s="282">
        <v>90</v>
      </c>
      <c r="C136" s="282">
        <f>C135-D136</f>
        <v>11750000</v>
      </c>
      <c r="D136" s="282">
        <v>250000</v>
      </c>
      <c r="E136" s="308">
        <f>$E$11+$E$12</f>
        <v>0.0664</v>
      </c>
      <c r="F136" s="285">
        <f>B136*C135*E136/I136</f>
        <v>196471.23287671234</v>
      </c>
      <c r="G136" s="282"/>
      <c r="H136" s="286"/>
      <c r="I136" s="256">
        <v>365</v>
      </c>
      <c r="J136" s="256"/>
    </row>
    <row r="137" spans="1:10" ht="12.75" outlineLevel="1">
      <c r="A137" s="307">
        <v>48760</v>
      </c>
      <c r="B137" s="282">
        <f>A137-A136</f>
        <v>91</v>
      </c>
      <c r="C137" s="282">
        <f>C136-D137</f>
        <v>11500000</v>
      </c>
      <c r="D137" s="282">
        <v>250000</v>
      </c>
      <c r="E137" s="308">
        <f>$E$11+$E$12</f>
        <v>0.0664</v>
      </c>
      <c r="F137" s="285">
        <f>B137*C136*E137/I137</f>
        <v>194515.61643835617</v>
      </c>
      <c r="G137" s="282"/>
      <c r="H137" s="286"/>
      <c r="I137" s="256">
        <v>365</v>
      </c>
      <c r="J137" s="256"/>
    </row>
    <row r="138" spans="1:10" ht="12.75" outlineLevel="1">
      <c r="A138" s="307">
        <v>48852</v>
      </c>
      <c r="B138" s="282">
        <f>A138-A137</f>
        <v>92</v>
      </c>
      <c r="C138" s="282">
        <f>C137-D138</f>
        <v>11250000</v>
      </c>
      <c r="D138" s="282">
        <v>250000</v>
      </c>
      <c r="E138" s="308">
        <f>$E$11+$E$12</f>
        <v>0.0664</v>
      </c>
      <c r="F138" s="285">
        <f>B138*C137*E138/I138</f>
        <v>192469.04109589042</v>
      </c>
      <c r="G138" s="282"/>
      <c r="H138" s="286"/>
      <c r="I138" s="256">
        <v>365</v>
      </c>
      <c r="J138" s="256"/>
    </row>
    <row r="139" spans="1:10" ht="12.75" outlineLevel="1">
      <c r="A139" s="307">
        <v>48944</v>
      </c>
      <c r="B139" s="282">
        <f>A139-A138</f>
        <v>92</v>
      </c>
      <c r="C139" s="282">
        <f>C138-D139</f>
        <v>11000000</v>
      </c>
      <c r="D139" s="282">
        <v>250000</v>
      </c>
      <c r="E139" s="308">
        <f>$E$11+$E$12</f>
        <v>0.0664</v>
      </c>
      <c r="F139" s="285">
        <f>B139*C138*E139/I139</f>
        <v>188284.9315068493</v>
      </c>
      <c r="G139" s="282"/>
      <c r="H139" s="286"/>
      <c r="I139" s="256">
        <v>365</v>
      </c>
      <c r="J139" s="256"/>
    </row>
    <row r="140" spans="1:10" ht="12.75" outlineLevel="1">
      <c r="A140" s="309"/>
      <c r="B140" s="288"/>
      <c r="C140" s="288">
        <f>C139</f>
        <v>11000000</v>
      </c>
      <c r="D140" s="288">
        <f>SUM(D136:D139)</f>
        <v>1000000</v>
      </c>
      <c r="E140" s="289"/>
      <c r="F140" s="274">
        <f>SUM(F136:F139)</f>
        <v>771740.8219178081</v>
      </c>
      <c r="G140" s="288"/>
      <c r="H140" s="290"/>
      <c r="I140" s="256"/>
      <c r="J140" s="256"/>
    </row>
    <row r="141" spans="1:10" ht="12.75" outlineLevel="1">
      <c r="A141" s="310"/>
      <c r="B141" s="311"/>
      <c r="C141" s="311"/>
      <c r="D141" s="311"/>
      <c r="E141" s="314"/>
      <c r="F141" s="315"/>
      <c r="G141" s="311"/>
      <c r="H141" s="313"/>
      <c r="I141" s="256"/>
      <c r="J141" s="256"/>
    </row>
    <row r="142" spans="1:10" ht="12.75" outlineLevel="1">
      <c r="A142" s="864" t="s">
        <v>113</v>
      </c>
      <c r="B142" s="864"/>
      <c r="C142" s="864"/>
      <c r="D142" s="864"/>
      <c r="E142" s="864"/>
      <c r="F142" s="864"/>
      <c r="G142" s="864"/>
      <c r="H142" s="864"/>
      <c r="I142" s="256"/>
      <c r="J142" s="256"/>
    </row>
    <row r="143" spans="1:10" ht="12.75" outlineLevel="1">
      <c r="A143" s="271"/>
      <c r="B143" s="272"/>
      <c r="C143" s="272"/>
      <c r="D143" s="272"/>
      <c r="E143" s="273"/>
      <c r="F143" s="274"/>
      <c r="G143" s="272"/>
      <c r="H143" s="275"/>
      <c r="I143" s="256"/>
      <c r="J143" s="256"/>
    </row>
    <row r="144" spans="1:10" ht="22.5" outlineLevel="1">
      <c r="A144" s="276" t="s">
        <v>114</v>
      </c>
      <c r="B144" s="277" t="s">
        <v>115</v>
      </c>
      <c r="C144" s="277" t="s">
        <v>116</v>
      </c>
      <c r="D144" s="277" t="s">
        <v>117</v>
      </c>
      <c r="E144" s="278" t="s">
        <v>118</v>
      </c>
      <c r="F144" s="279" t="s">
        <v>48</v>
      </c>
      <c r="G144" s="277"/>
      <c r="H144" s="280"/>
      <c r="I144" s="256"/>
      <c r="J144" s="256"/>
    </row>
    <row r="145" spans="1:10" ht="12.75" outlineLevel="1">
      <c r="A145" s="281" t="s">
        <v>133</v>
      </c>
      <c r="B145" s="282"/>
      <c r="C145" s="282">
        <f>C140</f>
        <v>11000000</v>
      </c>
      <c r="D145" s="282"/>
      <c r="E145" s="284"/>
      <c r="F145" s="285"/>
      <c r="G145" s="282"/>
      <c r="H145" s="286"/>
      <c r="I145" s="256"/>
      <c r="J145" s="256"/>
    </row>
    <row r="146" spans="1:10" ht="12.75" outlineLevel="1">
      <c r="A146" s="307">
        <v>49034</v>
      </c>
      <c r="B146" s="282">
        <f>A146-A139</f>
        <v>90</v>
      </c>
      <c r="C146" s="282">
        <f>C145-D146</f>
        <v>10750000</v>
      </c>
      <c r="D146" s="282">
        <v>250000</v>
      </c>
      <c r="E146" s="308">
        <f>$E$11+$E$12</f>
        <v>0.0664</v>
      </c>
      <c r="F146" s="285">
        <f>B146*C145*E146/I146</f>
        <v>180098.6301369863</v>
      </c>
      <c r="G146" s="282"/>
      <c r="H146" s="286"/>
      <c r="I146" s="256">
        <v>365</v>
      </c>
      <c r="J146" s="256"/>
    </row>
    <row r="147" spans="1:10" ht="12.75" outlineLevel="1">
      <c r="A147" s="307">
        <v>49125</v>
      </c>
      <c r="B147" s="282">
        <f>A147-A146</f>
        <v>91</v>
      </c>
      <c r="C147" s="282">
        <f>C146-D147</f>
        <v>10500000</v>
      </c>
      <c r="D147" s="282">
        <v>250000</v>
      </c>
      <c r="E147" s="308">
        <f>$E$11+$E$12</f>
        <v>0.0664</v>
      </c>
      <c r="F147" s="285">
        <f>B147*C146*E147/I147</f>
        <v>177961.09589041097</v>
      </c>
      <c r="G147" s="282"/>
      <c r="H147" s="286"/>
      <c r="I147" s="256">
        <v>365</v>
      </c>
      <c r="J147" s="256"/>
    </row>
    <row r="148" spans="1:10" ht="12.75" outlineLevel="1">
      <c r="A148" s="307">
        <v>49217</v>
      </c>
      <c r="B148" s="282">
        <f>A148-A147</f>
        <v>92</v>
      </c>
      <c r="C148" s="282">
        <f>C147-D148</f>
        <v>10250000</v>
      </c>
      <c r="D148" s="282">
        <v>250000</v>
      </c>
      <c r="E148" s="308">
        <f>$E$11+$E$12</f>
        <v>0.0664</v>
      </c>
      <c r="F148" s="285">
        <f>B148*C147*E148/I148</f>
        <v>175732.60273972602</v>
      </c>
      <c r="G148" s="282"/>
      <c r="H148" s="286"/>
      <c r="I148" s="256">
        <v>365</v>
      </c>
      <c r="J148" s="256"/>
    </row>
    <row r="149" spans="1:10" ht="12.75" outlineLevel="1">
      <c r="A149" s="307">
        <v>49309</v>
      </c>
      <c r="B149" s="282">
        <f>A149-A148</f>
        <v>92</v>
      </c>
      <c r="C149" s="282">
        <f>C148-D149</f>
        <v>10000000</v>
      </c>
      <c r="D149" s="282">
        <v>250000</v>
      </c>
      <c r="E149" s="308">
        <f>$E$11+$E$12</f>
        <v>0.0664</v>
      </c>
      <c r="F149" s="285">
        <f>B149*C148*E149/I149</f>
        <v>171548.49315068492</v>
      </c>
      <c r="G149" s="282"/>
      <c r="H149" s="286"/>
      <c r="I149" s="256">
        <v>365</v>
      </c>
      <c r="J149" s="256"/>
    </row>
    <row r="150" spans="1:10" ht="12.75" outlineLevel="1">
      <c r="A150" s="309"/>
      <c r="B150" s="288"/>
      <c r="C150" s="288">
        <f>C149</f>
        <v>10000000</v>
      </c>
      <c r="D150" s="288">
        <f>SUM(D146:D149)</f>
        <v>1000000</v>
      </c>
      <c r="E150" s="289"/>
      <c r="F150" s="274">
        <f>SUM(F146:F149)</f>
        <v>705340.8219178081</v>
      </c>
      <c r="G150" s="288"/>
      <c r="H150" s="290"/>
      <c r="I150" s="256"/>
      <c r="J150" s="256"/>
    </row>
    <row r="151" spans="1:10" ht="12.75" outlineLevel="1">
      <c r="A151" s="310"/>
      <c r="B151" s="311"/>
      <c r="C151" s="311"/>
      <c r="D151" s="311"/>
      <c r="E151" s="314"/>
      <c r="F151" s="315"/>
      <c r="G151" s="311"/>
      <c r="H151" s="313"/>
      <c r="I151" s="256"/>
      <c r="J151" s="256"/>
    </row>
    <row r="152" spans="1:10" ht="12.75" outlineLevel="1">
      <c r="A152" s="864" t="s">
        <v>113</v>
      </c>
      <c r="B152" s="864"/>
      <c r="C152" s="864"/>
      <c r="D152" s="864"/>
      <c r="E152" s="864"/>
      <c r="F152" s="864"/>
      <c r="G152" s="864"/>
      <c r="H152" s="864"/>
      <c r="I152" s="256"/>
      <c r="J152" s="256"/>
    </row>
    <row r="153" spans="1:10" ht="12.75" outlineLevel="1">
      <c r="A153" s="271"/>
      <c r="B153" s="272"/>
      <c r="C153" s="272"/>
      <c r="D153" s="272"/>
      <c r="E153" s="273"/>
      <c r="F153" s="274"/>
      <c r="G153" s="272"/>
      <c r="H153" s="275"/>
      <c r="I153" s="256"/>
      <c r="J153" s="256"/>
    </row>
    <row r="154" spans="1:10" ht="22.5" outlineLevel="1">
      <c r="A154" s="276" t="s">
        <v>114</v>
      </c>
      <c r="B154" s="277" t="s">
        <v>115</v>
      </c>
      <c r="C154" s="277" t="s">
        <v>116</v>
      </c>
      <c r="D154" s="277" t="s">
        <v>117</v>
      </c>
      <c r="E154" s="278" t="s">
        <v>118</v>
      </c>
      <c r="F154" s="279" t="s">
        <v>48</v>
      </c>
      <c r="G154" s="277"/>
      <c r="H154" s="280"/>
      <c r="I154" s="256"/>
      <c r="J154" s="256"/>
    </row>
    <row r="155" spans="1:10" ht="12.75" outlineLevel="1">
      <c r="A155" s="281" t="s">
        <v>209</v>
      </c>
      <c r="B155" s="282"/>
      <c r="C155" s="282">
        <f>C150</f>
        <v>10000000</v>
      </c>
      <c r="D155" s="282"/>
      <c r="E155" s="284"/>
      <c r="F155" s="285"/>
      <c r="G155" s="282"/>
      <c r="H155" s="286"/>
      <c r="I155" s="256"/>
      <c r="J155" s="256"/>
    </row>
    <row r="156" spans="1:10" ht="12.75" outlineLevel="1">
      <c r="A156" s="307">
        <v>49399</v>
      </c>
      <c r="B156" s="282">
        <f>A156-A149</f>
        <v>90</v>
      </c>
      <c r="C156" s="282">
        <f>C155-D156</f>
        <v>9750000</v>
      </c>
      <c r="D156" s="282">
        <v>250000</v>
      </c>
      <c r="E156" s="308">
        <f>$E$11+$E$12</f>
        <v>0.0664</v>
      </c>
      <c r="F156" s="285">
        <f>B156*C155*E156/I156</f>
        <v>163726.02739726027</v>
      </c>
      <c r="G156" s="282"/>
      <c r="H156" s="286"/>
      <c r="I156" s="256">
        <v>365</v>
      </c>
      <c r="J156" s="256"/>
    </row>
    <row r="157" spans="1:10" ht="12.75" outlineLevel="1">
      <c r="A157" s="307">
        <v>49490</v>
      </c>
      <c r="B157" s="282">
        <f>A157-A156</f>
        <v>91</v>
      </c>
      <c r="C157" s="282">
        <f>C156-D157</f>
        <v>9500000</v>
      </c>
      <c r="D157" s="282">
        <v>250000</v>
      </c>
      <c r="E157" s="308">
        <f>$E$11+$E$12</f>
        <v>0.0664</v>
      </c>
      <c r="F157" s="285">
        <f>B157*C156*E157/I157</f>
        <v>161406.57534246575</v>
      </c>
      <c r="G157" s="282"/>
      <c r="H157" s="286"/>
      <c r="I157" s="256">
        <v>365</v>
      </c>
      <c r="J157" s="256"/>
    </row>
    <row r="158" spans="1:10" ht="12.75" outlineLevel="1">
      <c r="A158" s="307">
        <v>49582</v>
      </c>
      <c r="B158" s="282">
        <f>A158-A157</f>
        <v>92</v>
      </c>
      <c r="C158" s="282">
        <f>C157-D158</f>
        <v>9250000</v>
      </c>
      <c r="D158" s="282">
        <v>250000</v>
      </c>
      <c r="E158" s="308">
        <f>$E$11+$E$12</f>
        <v>0.0664</v>
      </c>
      <c r="F158" s="285">
        <f>B158*C157*E158/I158</f>
        <v>158996.16438356164</v>
      </c>
      <c r="G158" s="282"/>
      <c r="H158" s="286"/>
      <c r="I158" s="256">
        <v>365</v>
      </c>
      <c r="J158" s="256"/>
    </row>
    <row r="159" spans="1:10" ht="12.75" outlineLevel="1">
      <c r="A159" s="307">
        <v>49674</v>
      </c>
      <c r="B159" s="282">
        <f>A159-A158</f>
        <v>92</v>
      </c>
      <c r="C159" s="282">
        <f>C158-D159</f>
        <v>9000000</v>
      </c>
      <c r="D159" s="282">
        <v>250000</v>
      </c>
      <c r="E159" s="308">
        <f>$E$11+$E$12</f>
        <v>0.0664</v>
      </c>
      <c r="F159" s="285">
        <f>B159*C158*E159/I159</f>
        <v>154812.05479452055</v>
      </c>
      <c r="G159" s="282"/>
      <c r="H159" s="286"/>
      <c r="I159" s="256">
        <v>365</v>
      </c>
      <c r="J159" s="256"/>
    </row>
    <row r="160" spans="1:10" ht="12.75" outlineLevel="1">
      <c r="A160" s="309"/>
      <c r="B160" s="288"/>
      <c r="C160" s="288">
        <f>C159</f>
        <v>9000000</v>
      </c>
      <c r="D160" s="288">
        <f>SUM(D156:D159)</f>
        <v>1000000</v>
      </c>
      <c r="E160" s="289"/>
      <c r="F160" s="274">
        <f>SUM(F156:F159)</f>
        <v>638940.8219178081</v>
      </c>
      <c r="G160" s="288"/>
      <c r="H160" s="290"/>
      <c r="I160" s="256"/>
      <c r="J160" s="256"/>
    </row>
    <row r="161" spans="1:10" ht="12.75" outlineLevel="1">
      <c r="A161" s="310"/>
      <c r="B161" s="311"/>
      <c r="C161" s="311"/>
      <c r="D161" s="311"/>
      <c r="E161" s="314"/>
      <c r="F161" s="315"/>
      <c r="G161" s="311"/>
      <c r="H161" s="313"/>
      <c r="I161" s="256"/>
      <c r="J161" s="256"/>
    </row>
    <row r="162" spans="1:10" ht="12.75" outlineLevel="1">
      <c r="A162" s="864" t="s">
        <v>113</v>
      </c>
      <c r="B162" s="864"/>
      <c r="C162" s="864"/>
      <c r="D162" s="864"/>
      <c r="E162" s="864"/>
      <c r="F162" s="864"/>
      <c r="G162" s="864"/>
      <c r="H162" s="864"/>
      <c r="I162" s="256"/>
      <c r="J162" s="256"/>
    </row>
    <row r="163" spans="1:10" ht="12.75" outlineLevel="1">
      <c r="A163" s="271"/>
      <c r="B163" s="272"/>
      <c r="C163" s="272"/>
      <c r="D163" s="272"/>
      <c r="E163" s="273"/>
      <c r="F163" s="274"/>
      <c r="G163" s="272"/>
      <c r="H163" s="275"/>
      <c r="I163" s="256"/>
      <c r="J163" s="256"/>
    </row>
    <row r="164" spans="1:10" ht="22.5" outlineLevel="1">
      <c r="A164" s="276" t="s">
        <v>114</v>
      </c>
      <c r="B164" s="277" t="s">
        <v>115</v>
      </c>
      <c r="C164" s="277" t="s">
        <v>116</v>
      </c>
      <c r="D164" s="277" t="s">
        <v>117</v>
      </c>
      <c r="E164" s="278" t="s">
        <v>118</v>
      </c>
      <c r="F164" s="279" t="s">
        <v>48</v>
      </c>
      <c r="G164" s="277"/>
      <c r="H164" s="280"/>
      <c r="I164" s="256"/>
      <c r="J164" s="256"/>
    </row>
    <row r="165" spans="1:10" ht="12.75" outlineLevel="1">
      <c r="A165" s="281">
        <v>2036</v>
      </c>
      <c r="B165" s="282"/>
      <c r="C165" s="282">
        <f>C160</f>
        <v>9000000</v>
      </c>
      <c r="D165" s="282"/>
      <c r="E165" s="284"/>
      <c r="F165" s="285"/>
      <c r="G165" s="282"/>
      <c r="H165" s="286"/>
      <c r="I165" s="256"/>
      <c r="J165" s="256"/>
    </row>
    <row r="166" spans="1:10" ht="12.75" outlineLevel="1">
      <c r="A166" s="307">
        <v>49765</v>
      </c>
      <c r="B166" s="282">
        <f>A166-A159</f>
        <v>91</v>
      </c>
      <c r="C166" s="282">
        <f>C165-D166</f>
        <v>8750000</v>
      </c>
      <c r="D166" s="282">
        <v>250000</v>
      </c>
      <c r="E166" s="308">
        <f>$E$11+$E$12</f>
        <v>0.0664</v>
      </c>
      <c r="F166" s="285">
        <f>B166*C165*E166/I166</f>
        <v>148583.60655737706</v>
      </c>
      <c r="G166" s="282"/>
      <c r="H166" s="286"/>
      <c r="I166" s="256">
        <v>366</v>
      </c>
      <c r="J166" s="256"/>
    </row>
    <row r="167" spans="1:10" ht="12.75" outlineLevel="1">
      <c r="A167" s="307">
        <v>49856</v>
      </c>
      <c r="B167" s="282">
        <f>A167-A166</f>
        <v>91</v>
      </c>
      <c r="C167" s="282">
        <f>C166-D167</f>
        <v>8500000</v>
      </c>
      <c r="D167" s="282">
        <v>250000</v>
      </c>
      <c r="E167" s="308">
        <f>$E$11+$E$12</f>
        <v>0.0664</v>
      </c>
      <c r="F167" s="285">
        <f>B167*C166*E167/I167</f>
        <v>144456.28415300546</v>
      </c>
      <c r="G167" s="282"/>
      <c r="H167" s="286"/>
      <c r="I167" s="256">
        <v>366</v>
      </c>
      <c r="J167" s="256"/>
    </row>
    <row r="168" spans="1:10" ht="12.75" outlineLevel="1">
      <c r="A168" s="307">
        <v>49948</v>
      </c>
      <c r="B168" s="282">
        <f>A168-A167</f>
        <v>92</v>
      </c>
      <c r="C168" s="282">
        <f>C167-D168</f>
        <v>8250000</v>
      </c>
      <c r="D168" s="282">
        <v>250000</v>
      </c>
      <c r="E168" s="308">
        <f>$E$11+$E$12</f>
        <v>0.0664</v>
      </c>
      <c r="F168" s="285">
        <f>B168*C167*E168/I168</f>
        <v>141871.03825136612</v>
      </c>
      <c r="G168" s="282"/>
      <c r="H168" s="286"/>
      <c r="I168" s="256">
        <v>366</v>
      </c>
      <c r="J168" s="256"/>
    </row>
    <row r="169" spans="1:10" ht="12.75" outlineLevel="1">
      <c r="A169" s="307">
        <v>50040</v>
      </c>
      <c r="B169" s="282">
        <f>A169-A168</f>
        <v>92</v>
      </c>
      <c r="C169" s="282">
        <f>C168-D169</f>
        <v>8000000</v>
      </c>
      <c r="D169" s="282">
        <v>250000</v>
      </c>
      <c r="E169" s="308">
        <f>$E$11+$E$12</f>
        <v>0.0664</v>
      </c>
      <c r="F169" s="285">
        <f>B169*C168*E169/I169</f>
        <v>137698.3606557377</v>
      </c>
      <c r="G169" s="282"/>
      <c r="H169" s="286"/>
      <c r="I169" s="256">
        <v>366</v>
      </c>
      <c r="J169" s="256"/>
    </row>
    <row r="170" spans="1:10" ht="12.75" outlineLevel="1">
      <c r="A170" s="309"/>
      <c r="B170" s="288"/>
      <c r="C170" s="288">
        <f>C169</f>
        <v>8000000</v>
      </c>
      <c r="D170" s="288">
        <f>SUM(D166:D169)</f>
        <v>1000000</v>
      </c>
      <c r="E170" s="289"/>
      <c r="F170" s="274">
        <f>SUM(F166:F169)</f>
        <v>572609.2896174863</v>
      </c>
      <c r="G170" s="288"/>
      <c r="H170" s="290"/>
      <c r="I170" s="256"/>
      <c r="J170" s="256"/>
    </row>
    <row r="171" spans="1:10" ht="12.75" outlineLevel="1">
      <c r="A171" s="310"/>
      <c r="B171" s="311"/>
      <c r="C171" s="311"/>
      <c r="D171" s="311"/>
      <c r="E171" s="314"/>
      <c r="F171" s="315"/>
      <c r="G171" s="311"/>
      <c r="H171" s="313"/>
      <c r="I171" s="256"/>
      <c r="J171" s="256"/>
    </row>
    <row r="172" spans="1:10" ht="12.75" outlineLevel="1">
      <c r="A172" s="864" t="s">
        <v>113</v>
      </c>
      <c r="B172" s="864"/>
      <c r="C172" s="864"/>
      <c r="D172" s="864"/>
      <c r="E172" s="864"/>
      <c r="F172" s="864"/>
      <c r="G172" s="864"/>
      <c r="H172" s="864"/>
      <c r="I172" s="256"/>
      <c r="J172" s="256"/>
    </row>
    <row r="173" spans="1:10" ht="12.75" outlineLevel="1">
      <c r="A173" s="271"/>
      <c r="B173" s="272"/>
      <c r="C173" s="272"/>
      <c r="D173" s="272"/>
      <c r="E173" s="273"/>
      <c r="F173" s="274"/>
      <c r="G173" s="272"/>
      <c r="H173" s="275"/>
      <c r="I173" s="256"/>
      <c r="J173" s="256"/>
    </row>
    <row r="174" spans="1:10" ht="22.5" outlineLevel="1">
      <c r="A174" s="276" t="s">
        <v>114</v>
      </c>
      <c r="B174" s="277" t="s">
        <v>115</v>
      </c>
      <c r="C174" s="277" t="s">
        <v>116</v>
      </c>
      <c r="D174" s="277" t="s">
        <v>117</v>
      </c>
      <c r="E174" s="278" t="s">
        <v>118</v>
      </c>
      <c r="F174" s="279" t="s">
        <v>48</v>
      </c>
      <c r="G174" s="277"/>
      <c r="H174" s="280"/>
      <c r="I174" s="256"/>
      <c r="J174" s="256"/>
    </row>
    <row r="175" spans="1:10" ht="12.75" outlineLevel="1">
      <c r="A175" s="281" t="s">
        <v>135</v>
      </c>
      <c r="B175" s="282"/>
      <c r="C175" s="282">
        <f>C170</f>
        <v>8000000</v>
      </c>
      <c r="D175" s="282"/>
      <c r="E175" s="284"/>
      <c r="F175" s="285"/>
      <c r="G175" s="282"/>
      <c r="H175" s="286"/>
      <c r="I175" s="256"/>
      <c r="J175" s="256"/>
    </row>
    <row r="176" spans="1:10" ht="12.75" outlineLevel="1">
      <c r="A176" s="307">
        <v>50130</v>
      </c>
      <c r="B176" s="282">
        <v>90</v>
      </c>
      <c r="C176" s="282">
        <f>C175-D176</f>
        <v>7750000</v>
      </c>
      <c r="D176" s="282">
        <v>250000</v>
      </c>
      <c r="E176" s="308">
        <f>$E$11+$E$12</f>
        <v>0.0664</v>
      </c>
      <c r="F176" s="285">
        <f>B176*C175*E176/I176</f>
        <v>130980.82191780822</v>
      </c>
      <c r="G176" s="282"/>
      <c r="H176" s="286"/>
      <c r="I176" s="256">
        <v>365</v>
      </c>
      <c r="J176" s="256"/>
    </row>
    <row r="177" spans="1:10" ht="12.75" outlineLevel="1">
      <c r="A177" s="307">
        <v>50221</v>
      </c>
      <c r="B177" s="282">
        <f>A177-A176</f>
        <v>91</v>
      </c>
      <c r="C177" s="282">
        <f>C176-D177</f>
        <v>7500000</v>
      </c>
      <c r="D177" s="282">
        <v>250000</v>
      </c>
      <c r="E177" s="308">
        <f>$E$11+$E$12</f>
        <v>0.0664</v>
      </c>
      <c r="F177" s="285">
        <f>B177*C176*E177/I177</f>
        <v>128297.53424657535</v>
      </c>
      <c r="G177" s="282"/>
      <c r="H177" s="286"/>
      <c r="I177" s="256">
        <v>365</v>
      </c>
      <c r="J177" s="256"/>
    </row>
    <row r="178" spans="1:10" ht="12.75" outlineLevel="1">
      <c r="A178" s="307">
        <v>50313</v>
      </c>
      <c r="B178" s="282">
        <f>A178-A177</f>
        <v>92</v>
      </c>
      <c r="C178" s="282">
        <f>C177-D178</f>
        <v>7250000</v>
      </c>
      <c r="D178" s="282">
        <v>250000</v>
      </c>
      <c r="E178" s="308">
        <f>$E$11+$E$12</f>
        <v>0.0664</v>
      </c>
      <c r="F178" s="285">
        <f>B178*C177*E178/I178</f>
        <v>125523.28767123287</v>
      </c>
      <c r="G178" s="282"/>
      <c r="H178" s="286"/>
      <c r="I178" s="256">
        <v>365</v>
      </c>
      <c r="J178" s="256"/>
    </row>
    <row r="179" spans="1:10" ht="12.75" outlineLevel="1">
      <c r="A179" s="307">
        <v>50405</v>
      </c>
      <c r="B179" s="282">
        <f>A179-A178</f>
        <v>92</v>
      </c>
      <c r="C179" s="282">
        <f>C178-D179</f>
        <v>7000000</v>
      </c>
      <c r="D179" s="282">
        <v>250000</v>
      </c>
      <c r="E179" s="308">
        <f>$E$11+$E$12</f>
        <v>0.0664</v>
      </c>
      <c r="F179" s="285">
        <f>B179*C178*E179/I179</f>
        <v>121339.17808219178</v>
      </c>
      <c r="G179" s="282"/>
      <c r="H179" s="286"/>
      <c r="I179" s="256">
        <v>365</v>
      </c>
      <c r="J179" s="256"/>
    </row>
    <row r="180" spans="1:10" ht="12.75" outlineLevel="1">
      <c r="A180" s="309"/>
      <c r="B180" s="288"/>
      <c r="C180" s="288">
        <f>C179</f>
        <v>7000000</v>
      </c>
      <c r="D180" s="288">
        <f>SUM(D176:D179)</f>
        <v>1000000</v>
      </c>
      <c r="E180" s="289"/>
      <c r="F180" s="274">
        <f>SUM(F176:F179)</f>
        <v>506140.82191780827</v>
      </c>
      <c r="G180" s="288"/>
      <c r="H180" s="290"/>
      <c r="I180" s="256"/>
      <c r="J180" s="256"/>
    </row>
    <row r="181" spans="1:10" ht="12.75" outlineLevel="1">
      <c r="A181" s="256"/>
      <c r="B181" s="255"/>
      <c r="C181" s="255"/>
      <c r="D181" s="255"/>
      <c r="E181" s="257"/>
      <c r="F181" s="258"/>
      <c r="G181" s="255"/>
      <c r="H181" s="255"/>
      <c r="I181" s="256"/>
      <c r="J181" s="256"/>
    </row>
    <row r="182" spans="1:9" ht="12.75" outlineLevel="1">
      <c r="A182" s="864" t="s">
        <v>113</v>
      </c>
      <c r="B182" s="864"/>
      <c r="C182" s="864"/>
      <c r="D182" s="864"/>
      <c r="E182" s="864"/>
      <c r="F182" s="864"/>
      <c r="G182" s="864"/>
      <c r="H182" s="864"/>
      <c r="I182" s="256"/>
    </row>
    <row r="183" spans="1:9" ht="12.75" outlineLevel="1">
      <c r="A183" s="271"/>
      <c r="B183" s="272"/>
      <c r="C183" s="272"/>
      <c r="D183" s="272"/>
      <c r="E183" s="273"/>
      <c r="F183" s="274"/>
      <c r="G183" s="272"/>
      <c r="H183" s="275"/>
      <c r="I183" s="256"/>
    </row>
    <row r="184" spans="1:9" ht="22.5" outlineLevel="1">
      <c r="A184" s="276" t="s">
        <v>114</v>
      </c>
      <c r="B184" s="277" t="s">
        <v>115</v>
      </c>
      <c r="C184" s="277" t="s">
        <v>116</v>
      </c>
      <c r="D184" s="277" t="s">
        <v>117</v>
      </c>
      <c r="E184" s="278" t="s">
        <v>118</v>
      </c>
      <c r="F184" s="279" t="s">
        <v>48</v>
      </c>
      <c r="G184" s="277"/>
      <c r="H184" s="280"/>
      <c r="I184" s="256"/>
    </row>
    <row r="185" spans="1:9" ht="12.75" outlineLevel="1">
      <c r="A185" s="281" t="s">
        <v>136</v>
      </c>
      <c r="B185" s="282"/>
      <c r="C185" s="282">
        <f>C180</f>
        <v>7000000</v>
      </c>
      <c r="D185" s="282"/>
      <c r="E185" s="284"/>
      <c r="F185" s="285"/>
      <c r="G185" s="282"/>
      <c r="H185" s="286"/>
      <c r="I185" s="256"/>
    </row>
    <row r="186" spans="1:9" ht="12.75" outlineLevel="1">
      <c r="A186" s="307">
        <v>50495</v>
      </c>
      <c r="B186" s="282">
        <f>A186-A179</f>
        <v>90</v>
      </c>
      <c r="C186" s="282">
        <f>C185-D186</f>
        <v>6750000</v>
      </c>
      <c r="D186" s="282">
        <v>250000</v>
      </c>
      <c r="E186" s="308">
        <f>$E$11+$E$12</f>
        <v>0.0664</v>
      </c>
      <c r="F186" s="285">
        <f>B186*C185*E186/I186</f>
        <v>114608.21917808219</v>
      </c>
      <c r="G186" s="282"/>
      <c r="H186" s="286"/>
      <c r="I186" s="256">
        <v>365</v>
      </c>
    </row>
    <row r="187" spans="1:9" ht="12.75" outlineLevel="1">
      <c r="A187" s="307">
        <v>50586</v>
      </c>
      <c r="B187" s="282">
        <f>A187-A186</f>
        <v>91</v>
      </c>
      <c r="C187" s="282">
        <f>C186-D187</f>
        <v>6500000</v>
      </c>
      <c r="D187" s="282">
        <v>250000</v>
      </c>
      <c r="E187" s="308">
        <f>$E$11+$E$12</f>
        <v>0.0664</v>
      </c>
      <c r="F187" s="285">
        <f>B187*C186*E187/I187</f>
        <v>111743.01369863014</v>
      </c>
      <c r="G187" s="282"/>
      <c r="H187" s="286"/>
      <c r="I187" s="256">
        <v>365</v>
      </c>
    </row>
    <row r="188" spans="1:10" ht="12.75" outlineLevel="1">
      <c r="A188" s="307">
        <v>50678</v>
      </c>
      <c r="B188" s="282">
        <f>A188-A187</f>
        <v>92</v>
      </c>
      <c r="C188" s="282">
        <f>C187-D188</f>
        <v>6250000</v>
      </c>
      <c r="D188" s="282">
        <v>250000</v>
      </c>
      <c r="E188" s="308">
        <f>$E$11+$E$12</f>
        <v>0.0664</v>
      </c>
      <c r="F188" s="285">
        <f>B188*C187*E188/I188</f>
        <v>108786.8493150685</v>
      </c>
      <c r="G188" s="282"/>
      <c r="H188" s="286"/>
      <c r="I188" s="256">
        <v>365</v>
      </c>
      <c r="J188" s="256"/>
    </row>
    <row r="189" spans="1:10" ht="12.75" outlineLevel="1">
      <c r="A189" s="307">
        <v>50770</v>
      </c>
      <c r="B189" s="282">
        <f>A189-A188</f>
        <v>92</v>
      </c>
      <c r="C189" s="282">
        <f>C188-D189</f>
        <v>6000000</v>
      </c>
      <c r="D189" s="282">
        <v>250000</v>
      </c>
      <c r="E189" s="308">
        <f>$E$11+$E$12</f>
        <v>0.0664</v>
      </c>
      <c r="F189" s="285">
        <f>B189*C188*E189/I189</f>
        <v>104602.7397260274</v>
      </c>
      <c r="G189" s="282"/>
      <c r="H189" s="286"/>
      <c r="I189" s="256">
        <v>365</v>
      </c>
      <c r="J189" s="256"/>
    </row>
    <row r="190" spans="1:9" ht="12.75" outlineLevel="1">
      <c r="A190" s="309"/>
      <c r="B190" s="288"/>
      <c r="C190" s="288">
        <f>C189</f>
        <v>6000000</v>
      </c>
      <c r="D190" s="288">
        <f>SUM(D186:D189)</f>
        <v>1000000</v>
      </c>
      <c r="E190" s="289"/>
      <c r="F190" s="274">
        <f>SUM(F186:F189)</f>
        <v>439740.82191780827</v>
      </c>
      <c r="G190" s="288"/>
      <c r="H190" s="290"/>
      <c r="I190" s="256"/>
    </row>
    <row r="191" ht="12.75" outlineLevel="1"/>
    <row r="192" spans="1:9" ht="12.75" outlineLevel="1">
      <c r="A192" s="864" t="s">
        <v>113</v>
      </c>
      <c r="B192" s="864"/>
      <c r="C192" s="864"/>
      <c r="D192" s="864"/>
      <c r="E192" s="864"/>
      <c r="F192" s="864"/>
      <c r="G192" s="864"/>
      <c r="H192" s="864"/>
      <c r="I192" s="256"/>
    </row>
    <row r="193" spans="1:9" ht="12.75" outlineLevel="1">
      <c r="A193" s="271"/>
      <c r="B193" s="272"/>
      <c r="C193" s="272"/>
      <c r="D193" s="272"/>
      <c r="E193" s="273"/>
      <c r="F193" s="274"/>
      <c r="G193" s="272"/>
      <c r="H193" s="275"/>
      <c r="I193" s="256"/>
    </row>
    <row r="194" spans="1:9" ht="22.5" outlineLevel="1">
      <c r="A194" s="276" t="s">
        <v>114</v>
      </c>
      <c r="B194" s="277" t="s">
        <v>115</v>
      </c>
      <c r="C194" s="277" t="s">
        <v>116</v>
      </c>
      <c r="D194" s="277" t="s">
        <v>117</v>
      </c>
      <c r="E194" s="278" t="s">
        <v>118</v>
      </c>
      <c r="F194" s="279" t="s">
        <v>48</v>
      </c>
      <c r="G194" s="277"/>
      <c r="H194" s="280"/>
      <c r="I194" s="256"/>
    </row>
    <row r="195" spans="1:9" ht="12.75" outlineLevel="1">
      <c r="A195" s="281" t="s">
        <v>137</v>
      </c>
      <c r="B195" s="282"/>
      <c r="C195" s="282">
        <f>C190</f>
        <v>6000000</v>
      </c>
      <c r="D195" s="282"/>
      <c r="E195" s="284"/>
      <c r="F195" s="285"/>
      <c r="G195" s="282"/>
      <c r="H195" s="286"/>
      <c r="I195" s="256"/>
    </row>
    <row r="196" spans="1:9" ht="12.75" outlineLevel="1">
      <c r="A196" s="307">
        <v>50860</v>
      </c>
      <c r="B196" s="282">
        <f>A196-A189</f>
        <v>90</v>
      </c>
      <c r="C196" s="282">
        <f>C195-D196</f>
        <v>5750000</v>
      </c>
      <c r="D196" s="282">
        <v>250000</v>
      </c>
      <c r="E196" s="308">
        <f>$E$11+$E$12</f>
        <v>0.0664</v>
      </c>
      <c r="F196" s="285">
        <f>B196*C195*E196/I196</f>
        <v>98235.61643835617</v>
      </c>
      <c r="G196" s="282"/>
      <c r="H196" s="286"/>
      <c r="I196" s="256">
        <v>365</v>
      </c>
    </row>
    <row r="197" spans="1:9" ht="12.75" outlineLevel="1">
      <c r="A197" s="307">
        <v>50951</v>
      </c>
      <c r="B197" s="282">
        <f>A197-A196</f>
        <v>91</v>
      </c>
      <c r="C197" s="282">
        <f>C196-D197</f>
        <v>5500000</v>
      </c>
      <c r="D197" s="282">
        <v>250000</v>
      </c>
      <c r="E197" s="308">
        <f>$E$11+$E$12</f>
        <v>0.0664</v>
      </c>
      <c r="F197" s="285">
        <f>B197*C196*E197/I197</f>
        <v>95188.49315068492</v>
      </c>
      <c r="G197" s="282"/>
      <c r="H197" s="286"/>
      <c r="I197" s="256">
        <v>365</v>
      </c>
    </row>
    <row r="198" spans="1:9" ht="12.75" outlineLevel="1">
      <c r="A198" s="307">
        <v>51043</v>
      </c>
      <c r="B198" s="282">
        <f>A198-A197</f>
        <v>92</v>
      </c>
      <c r="C198" s="282">
        <f>C197-D198</f>
        <v>5250000</v>
      </c>
      <c r="D198" s="282">
        <v>250000</v>
      </c>
      <c r="E198" s="308">
        <f>$E$11+$E$12</f>
        <v>0.0664</v>
      </c>
      <c r="F198" s="285">
        <f>B198*C197*E198/I198</f>
        <v>92050.4109589041</v>
      </c>
      <c r="G198" s="282"/>
      <c r="H198" s="286"/>
      <c r="I198" s="256">
        <v>365</v>
      </c>
    </row>
    <row r="199" spans="1:9" ht="12.75" outlineLevel="1">
      <c r="A199" s="307">
        <v>51135</v>
      </c>
      <c r="B199" s="282">
        <f>A199-A198</f>
        <v>92</v>
      </c>
      <c r="C199" s="282">
        <f>C198-D199</f>
        <v>5000000</v>
      </c>
      <c r="D199" s="282">
        <v>250000</v>
      </c>
      <c r="E199" s="308">
        <f>$E$11+$E$12</f>
        <v>0.0664</v>
      </c>
      <c r="F199" s="285">
        <f>B199*C198*E199/I199</f>
        <v>87866.30136986301</v>
      </c>
      <c r="G199" s="282"/>
      <c r="H199" s="286"/>
      <c r="I199" s="256">
        <v>365</v>
      </c>
    </row>
    <row r="200" spans="1:9" ht="12.75" outlineLevel="1">
      <c r="A200" s="309"/>
      <c r="B200" s="288"/>
      <c r="C200" s="288">
        <f>C199</f>
        <v>5000000</v>
      </c>
      <c r="D200" s="288">
        <f>SUM(D196:D199)</f>
        <v>1000000</v>
      </c>
      <c r="E200" s="289"/>
      <c r="F200" s="274">
        <f>SUM(F196:F199)</f>
        <v>373340.82191780815</v>
      </c>
      <c r="G200" s="288"/>
      <c r="H200" s="290"/>
      <c r="I200" s="256"/>
    </row>
    <row r="201" ht="12.75" outlineLevel="1"/>
    <row r="202" spans="1:9" ht="12.75" outlineLevel="1">
      <c r="A202" s="864" t="s">
        <v>113</v>
      </c>
      <c r="B202" s="864"/>
      <c r="C202" s="864"/>
      <c r="D202" s="864"/>
      <c r="E202" s="864"/>
      <c r="F202" s="864"/>
      <c r="G202" s="864"/>
      <c r="H202" s="864"/>
      <c r="I202" s="256"/>
    </row>
    <row r="203" spans="1:9" ht="12.75" outlineLevel="1">
      <c r="A203" s="271"/>
      <c r="B203" s="272"/>
      <c r="C203" s="272"/>
      <c r="D203" s="272"/>
      <c r="E203" s="273"/>
      <c r="F203" s="274"/>
      <c r="G203" s="272"/>
      <c r="H203" s="275"/>
      <c r="I203" s="256"/>
    </row>
    <row r="204" spans="1:9" ht="22.5" outlineLevel="1">
      <c r="A204" s="276" t="s">
        <v>114</v>
      </c>
      <c r="B204" s="277" t="s">
        <v>115</v>
      </c>
      <c r="C204" s="277" t="s">
        <v>116</v>
      </c>
      <c r="D204" s="277" t="s">
        <v>117</v>
      </c>
      <c r="E204" s="278" t="s">
        <v>118</v>
      </c>
      <c r="F204" s="279" t="s">
        <v>48</v>
      </c>
      <c r="G204" s="277"/>
      <c r="H204" s="280"/>
      <c r="I204" s="256"/>
    </row>
    <row r="205" spans="1:9" ht="12.75" outlineLevel="1">
      <c r="A205" s="281" t="s">
        <v>138</v>
      </c>
      <c r="B205" s="282"/>
      <c r="C205" s="282">
        <f>C200</f>
        <v>5000000</v>
      </c>
      <c r="D205" s="282"/>
      <c r="E205" s="284"/>
      <c r="F205" s="285"/>
      <c r="G205" s="282"/>
      <c r="H205" s="286"/>
      <c r="I205" s="256"/>
    </row>
    <row r="206" spans="1:10" ht="12.75" outlineLevel="1">
      <c r="A206" s="307">
        <v>51226</v>
      </c>
      <c r="B206" s="282">
        <f>A206-A199</f>
        <v>91</v>
      </c>
      <c r="C206" s="282">
        <f>C205-D206</f>
        <v>4750000</v>
      </c>
      <c r="D206" s="282">
        <v>250000</v>
      </c>
      <c r="E206" s="308">
        <f>$E$11+$E$12</f>
        <v>0.0664</v>
      </c>
      <c r="F206" s="285">
        <f>B206*C205*E206/I206</f>
        <v>82546.4480874317</v>
      </c>
      <c r="G206" s="282"/>
      <c r="H206" s="286"/>
      <c r="I206" s="256">
        <v>366</v>
      </c>
      <c r="J206" s="256"/>
    </row>
    <row r="207" spans="1:10" ht="12.75" outlineLevel="1">
      <c r="A207" s="307">
        <v>51317</v>
      </c>
      <c r="B207" s="282">
        <f>A207-A206</f>
        <v>91</v>
      </c>
      <c r="C207" s="282">
        <f>C206-D207</f>
        <v>4500000</v>
      </c>
      <c r="D207" s="282">
        <v>250000</v>
      </c>
      <c r="E207" s="308">
        <f>$E$11+$E$12</f>
        <v>0.0664</v>
      </c>
      <c r="F207" s="285">
        <f>B207*C206*E207/I207</f>
        <v>78419.1256830601</v>
      </c>
      <c r="G207" s="282"/>
      <c r="H207" s="286"/>
      <c r="I207" s="256">
        <v>366</v>
      </c>
      <c r="J207" s="256"/>
    </row>
    <row r="208" spans="1:10" ht="12.75" outlineLevel="1">
      <c r="A208" s="307">
        <v>51409</v>
      </c>
      <c r="B208" s="282">
        <f>A208-A207</f>
        <v>92</v>
      </c>
      <c r="C208" s="282">
        <f>C207-D208</f>
        <v>4250000</v>
      </c>
      <c r="D208" s="282">
        <v>250000</v>
      </c>
      <c r="E208" s="308">
        <f>$E$11+$E$12</f>
        <v>0.0664</v>
      </c>
      <c r="F208" s="285">
        <f>B208*C207*E208/I208</f>
        <v>75108.19672131147</v>
      </c>
      <c r="G208" s="282"/>
      <c r="H208" s="286"/>
      <c r="I208" s="256">
        <v>366</v>
      </c>
      <c r="J208" s="256"/>
    </row>
    <row r="209" spans="1:10" ht="12.75" outlineLevel="1">
      <c r="A209" s="307">
        <v>51501</v>
      </c>
      <c r="B209" s="282">
        <f>A209-A208</f>
        <v>92</v>
      </c>
      <c r="C209" s="282">
        <f>C208-D209</f>
        <v>4000000</v>
      </c>
      <c r="D209" s="282">
        <v>250000</v>
      </c>
      <c r="E209" s="308">
        <f>$E$11+$E$12</f>
        <v>0.0664</v>
      </c>
      <c r="F209" s="285">
        <f>B209*C208*E209/I209</f>
        <v>70935.51912568306</v>
      </c>
      <c r="G209" s="282"/>
      <c r="H209" s="286"/>
      <c r="I209" s="256">
        <v>366</v>
      </c>
      <c r="J209" s="256"/>
    </row>
    <row r="210" spans="1:10" ht="12.75" outlineLevel="1">
      <c r="A210" s="309"/>
      <c r="B210" s="288"/>
      <c r="C210" s="288">
        <f>C209</f>
        <v>4000000</v>
      </c>
      <c r="D210" s="288">
        <f>SUM(D205:D209)</f>
        <v>1000000</v>
      </c>
      <c r="E210" s="289"/>
      <c r="F210" s="274">
        <f>SUM(F206:F209)</f>
        <v>307009.28961748636</v>
      </c>
      <c r="G210" s="288"/>
      <c r="H210" s="290"/>
      <c r="I210" s="256"/>
      <c r="J210" s="256"/>
    </row>
    <row r="211" spans="1:10" ht="12.75" outlineLevel="1">
      <c r="A211" s="256"/>
      <c r="B211" s="255"/>
      <c r="G211" s="255"/>
      <c r="H211" s="255"/>
      <c r="I211" s="256"/>
      <c r="J211" s="256"/>
    </row>
    <row r="212" spans="1:9" ht="12.75" outlineLevel="1">
      <c r="A212" s="864" t="s">
        <v>113</v>
      </c>
      <c r="B212" s="864"/>
      <c r="C212" s="864"/>
      <c r="D212" s="864"/>
      <c r="E212" s="864"/>
      <c r="F212" s="864"/>
      <c r="G212" s="864"/>
      <c r="H212" s="864"/>
      <c r="I212" s="256"/>
    </row>
    <row r="213" spans="1:9" ht="12.75" outlineLevel="1">
      <c r="A213" s="271"/>
      <c r="B213" s="272"/>
      <c r="C213" s="272"/>
      <c r="D213" s="272"/>
      <c r="E213" s="273"/>
      <c r="F213" s="274"/>
      <c r="G213" s="272"/>
      <c r="H213" s="275"/>
      <c r="I213" s="256"/>
    </row>
    <row r="214" spans="1:9" ht="22.5" outlineLevel="1">
      <c r="A214" s="276" t="s">
        <v>114</v>
      </c>
      <c r="B214" s="277" t="s">
        <v>115</v>
      </c>
      <c r="C214" s="277" t="s">
        <v>116</v>
      </c>
      <c r="D214" s="277" t="s">
        <v>117</v>
      </c>
      <c r="E214" s="278" t="s">
        <v>118</v>
      </c>
      <c r="F214" s="279" t="s">
        <v>48</v>
      </c>
      <c r="G214" s="277"/>
      <c r="H214" s="280"/>
      <c r="I214" s="256"/>
    </row>
    <row r="215" spans="1:9" ht="12.75" outlineLevel="1">
      <c r="A215" s="281" t="s">
        <v>139</v>
      </c>
      <c r="B215" s="282"/>
      <c r="C215" s="282">
        <f>C210</f>
        <v>4000000</v>
      </c>
      <c r="D215" s="282"/>
      <c r="E215" s="284"/>
      <c r="F215" s="285"/>
      <c r="G215" s="282"/>
      <c r="H215" s="286"/>
      <c r="I215" s="256"/>
    </row>
    <row r="216" spans="1:9" ht="12.75" outlineLevel="1">
      <c r="A216" s="307">
        <v>51591</v>
      </c>
      <c r="B216" s="282">
        <v>90</v>
      </c>
      <c r="C216" s="282">
        <f>C215-D216</f>
        <v>3750000</v>
      </c>
      <c r="D216" s="282">
        <v>250000</v>
      </c>
      <c r="E216" s="308">
        <f>$E$11+$E$12</f>
        <v>0.0664</v>
      </c>
      <c r="F216" s="285">
        <f>B216*C215*E216/I216</f>
        <v>65490.41095890411</v>
      </c>
      <c r="G216" s="282"/>
      <c r="H216" s="286"/>
      <c r="I216" s="256">
        <v>365</v>
      </c>
    </row>
    <row r="217" spans="1:9" ht="12.75" outlineLevel="1">
      <c r="A217" s="307">
        <v>51682</v>
      </c>
      <c r="B217" s="282">
        <f>A217-A216</f>
        <v>91</v>
      </c>
      <c r="C217" s="282">
        <f>C216-D217</f>
        <v>3500000</v>
      </c>
      <c r="D217" s="282">
        <v>250000</v>
      </c>
      <c r="E217" s="308">
        <f>$E$11+$E$12</f>
        <v>0.0664</v>
      </c>
      <c r="F217" s="285">
        <f>B217*C216*E217/I217</f>
        <v>62079.45205479452</v>
      </c>
      <c r="G217" s="282"/>
      <c r="H217" s="286"/>
      <c r="I217" s="256">
        <v>365</v>
      </c>
    </row>
    <row r="218" spans="1:9" ht="12.75" outlineLevel="1">
      <c r="A218" s="307">
        <v>51774</v>
      </c>
      <c r="B218" s="282">
        <f>A218-A217</f>
        <v>92</v>
      </c>
      <c r="C218" s="282">
        <f>C217-D218</f>
        <v>3250000</v>
      </c>
      <c r="D218" s="282">
        <v>250000</v>
      </c>
      <c r="E218" s="308">
        <f>$E$11+$E$12</f>
        <v>0.0664</v>
      </c>
      <c r="F218" s="285">
        <f>B218*C217*E218/I218</f>
        <v>58577.53424657534</v>
      </c>
      <c r="G218" s="282"/>
      <c r="H218" s="286"/>
      <c r="I218" s="256">
        <v>365</v>
      </c>
    </row>
    <row r="219" spans="1:9" ht="12.75" outlineLevel="1">
      <c r="A219" s="307">
        <v>51866</v>
      </c>
      <c r="B219" s="282">
        <f>A219-A218</f>
        <v>92</v>
      </c>
      <c r="C219" s="282">
        <f>C218-D219</f>
        <v>3000000</v>
      </c>
      <c r="D219" s="282">
        <v>250000</v>
      </c>
      <c r="E219" s="308">
        <f>$E$11+$E$12</f>
        <v>0.0664</v>
      </c>
      <c r="F219" s="285">
        <f>B219*C218*E219/I219</f>
        <v>54393.42465753425</v>
      </c>
      <c r="G219" s="282"/>
      <c r="H219" s="286"/>
      <c r="I219" s="256">
        <v>365</v>
      </c>
    </row>
    <row r="220" spans="1:9" ht="12.75" outlineLevel="1">
      <c r="A220" s="309"/>
      <c r="B220" s="288"/>
      <c r="C220" s="288">
        <f>C219</f>
        <v>3000000</v>
      </c>
      <c r="D220" s="288">
        <f>SUM(D216:D219)</f>
        <v>1000000</v>
      </c>
      <c r="E220" s="289"/>
      <c r="F220" s="274">
        <f>SUM(F216:F219)</f>
        <v>240540.82191780824</v>
      </c>
      <c r="G220" s="288"/>
      <c r="H220" s="290"/>
      <c r="I220" s="256"/>
    </row>
    <row r="221" ht="12.75" outlineLevel="1"/>
    <row r="222" spans="1:9" ht="12.75" outlineLevel="1">
      <c r="A222" s="864" t="s">
        <v>113</v>
      </c>
      <c r="B222" s="864"/>
      <c r="C222" s="864"/>
      <c r="D222" s="864"/>
      <c r="E222" s="864"/>
      <c r="F222" s="864"/>
      <c r="G222" s="864"/>
      <c r="H222" s="864"/>
      <c r="I222" s="256"/>
    </row>
    <row r="223" spans="1:9" ht="12.75" outlineLevel="1">
      <c r="A223" s="271"/>
      <c r="B223" s="272"/>
      <c r="C223" s="272"/>
      <c r="D223" s="272"/>
      <c r="E223" s="273"/>
      <c r="F223" s="274"/>
      <c r="G223" s="272"/>
      <c r="H223" s="275"/>
      <c r="I223" s="256"/>
    </row>
    <row r="224" spans="1:9" ht="22.5" outlineLevel="1">
      <c r="A224" s="659" t="s">
        <v>114</v>
      </c>
      <c r="B224" s="660" t="s">
        <v>115</v>
      </c>
      <c r="C224" s="660" t="s">
        <v>116</v>
      </c>
      <c r="D224" s="660" t="s">
        <v>117</v>
      </c>
      <c r="E224" s="661" t="s">
        <v>118</v>
      </c>
      <c r="F224" s="662" t="s">
        <v>48</v>
      </c>
      <c r="G224" s="660"/>
      <c r="H224" s="663"/>
      <c r="I224" s="664"/>
    </row>
    <row r="225" spans="1:9" ht="12.75" outlineLevel="1">
      <c r="A225" s="665" t="s">
        <v>210</v>
      </c>
      <c r="B225" s="666"/>
      <c r="C225" s="666">
        <f>C220</f>
        <v>3000000</v>
      </c>
      <c r="D225" s="666"/>
      <c r="E225" s="667"/>
      <c r="F225" s="668"/>
      <c r="G225" s="666"/>
      <c r="H225" s="669"/>
      <c r="I225" s="664"/>
    </row>
    <row r="226" spans="1:9" ht="12.75" outlineLevel="1">
      <c r="A226" s="670">
        <v>51928</v>
      </c>
      <c r="B226" s="666">
        <f>A226-A219</f>
        <v>62</v>
      </c>
      <c r="C226" s="666">
        <f>C225-D226</f>
        <v>2750000</v>
      </c>
      <c r="D226" s="666">
        <v>250000</v>
      </c>
      <c r="E226" s="671">
        <f>$E$11+$E$12</f>
        <v>0.0664</v>
      </c>
      <c r="F226" s="668">
        <f>B226*C225*E226/I226</f>
        <v>33836.71232876712</v>
      </c>
      <c r="G226" s="666"/>
      <c r="H226" s="669"/>
      <c r="I226" s="664">
        <v>365</v>
      </c>
    </row>
    <row r="227" spans="1:9" ht="12.75" outlineLevel="1">
      <c r="A227" s="670">
        <v>52047</v>
      </c>
      <c r="B227" s="666">
        <f>A227-A226</f>
        <v>119</v>
      </c>
      <c r="C227" s="666">
        <f>C226-D227</f>
        <v>2500000</v>
      </c>
      <c r="D227" s="666">
        <v>250000</v>
      </c>
      <c r="E227" s="671">
        <f>$E$11+$E$12</f>
        <v>0.0664</v>
      </c>
      <c r="F227" s="668">
        <f>B227*C226*E227/I227</f>
        <v>59532.602739726026</v>
      </c>
      <c r="G227" s="666"/>
      <c r="H227" s="669"/>
      <c r="I227" s="664">
        <v>365</v>
      </c>
    </row>
    <row r="228" spans="1:9" ht="12.75" outlineLevel="1">
      <c r="A228" s="670">
        <v>52139</v>
      </c>
      <c r="B228" s="666">
        <f>A228-A227</f>
        <v>92</v>
      </c>
      <c r="C228" s="666">
        <f>C227-D228</f>
        <v>2250000</v>
      </c>
      <c r="D228" s="666">
        <v>250000</v>
      </c>
      <c r="E228" s="671">
        <f>$E$11+$E$12</f>
        <v>0.0664</v>
      </c>
      <c r="F228" s="668">
        <f>B228*C227*E228/I228</f>
        <v>41841.09589041096</v>
      </c>
      <c r="G228" s="666"/>
      <c r="H228" s="669"/>
      <c r="I228" s="664">
        <v>365</v>
      </c>
    </row>
    <row r="229" spans="1:9" ht="12.75" outlineLevel="1">
      <c r="A229" s="670">
        <v>52231</v>
      </c>
      <c r="B229" s="666">
        <f>A229-A228</f>
        <v>92</v>
      </c>
      <c r="C229" s="666">
        <f>C228-D229</f>
        <v>2000000</v>
      </c>
      <c r="D229" s="666">
        <v>250000</v>
      </c>
      <c r="E229" s="671">
        <f>$E$11+$E$12</f>
        <v>0.0664</v>
      </c>
      <c r="F229" s="668">
        <f>B229*C228*E229/I229</f>
        <v>37656.98630136986</v>
      </c>
      <c r="G229" s="666"/>
      <c r="H229" s="669"/>
      <c r="I229" s="664">
        <v>365</v>
      </c>
    </row>
    <row r="230" spans="1:9" ht="12.75" outlineLevel="1">
      <c r="A230" s="672"/>
      <c r="B230" s="673"/>
      <c r="C230" s="673">
        <f>C229</f>
        <v>2000000</v>
      </c>
      <c r="D230" s="673">
        <f>SUM(D226:D229)</f>
        <v>1000000</v>
      </c>
      <c r="E230" s="674"/>
      <c r="F230" s="675">
        <f>SUM(F226:F229)</f>
        <v>172867.39726027398</v>
      </c>
      <c r="G230" s="673"/>
      <c r="H230" s="676"/>
      <c r="I230" s="664"/>
    </row>
    <row r="231" spans="1:9" ht="12.75" outlineLevel="1">
      <c r="A231" s="677"/>
      <c r="B231" s="677"/>
      <c r="C231" s="677"/>
      <c r="D231" s="677"/>
      <c r="E231" s="677"/>
      <c r="F231" s="677"/>
      <c r="G231" s="677"/>
      <c r="H231" s="677"/>
      <c r="I231" s="677"/>
    </row>
    <row r="232" spans="1:9" ht="12.75" outlineLevel="1">
      <c r="A232" s="677"/>
      <c r="B232" s="677"/>
      <c r="C232" s="677"/>
      <c r="D232" s="677"/>
      <c r="E232" s="677"/>
      <c r="F232" s="677"/>
      <c r="G232" s="677"/>
      <c r="H232" s="677"/>
      <c r="I232" s="677"/>
    </row>
    <row r="234" spans="1:9" ht="22.5">
      <c r="A234" s="659" t="s">
        <v>114</v>
      </c>
      <c r="B234" s="660" t="s">
        <v>115</v>
      </c>
      <c r="C234" s="660" t="s">
        <v>116</v>
      </c>
      <c r="D234" s="660" t="s">
        <v>117</v>
      </c>
      <c r="E234" s="661" t="s">
        <v>118</v>
      </c>
      <c r="F234" s="662" t="s">
        <v>48</v>
      </c>
      <c r="G234" s="660"/>
      <c r="H234" s="663"/>
      <c r="I234" s="664"/>
    </row>
    <row r="235" spans="1:9" ht="12.75">
      <c r="A235" s="665" t="s">
        <v>222</v>
      </c>
      <c r="B235" s="666"/>
      <c r="C235" s="666">
        <f>C230</f>
        <v>2000000</v>
      </c>
      <c r="D235" s="666"/>
      <c r="E235" s="667"/>
      <c r="F235" s="668"/>
      <c r="G235" s="666"/>
      <c r="H235" s="669"/>
      <c r="I235" s="664"/>
    </row>
    <row r="236" spans="1:9" ht="12.75">
      <c r="A236" s="670">
        <v>52293</v>
      </c>
      <c r="B236" s="666">
        <f>A236-A229</f>
        <v>62</v>
      </c>
      <c r="C236" s="666">
        <f>C235-D236</f>
        <v>1500000</v>
      </c>
      <c r="D236" s="666">
        <v>500000</v>
      </c>
      <c r="E236" s="671">
        <f>$E$11+$E$12</f>
        <v>0.0664</v>
      </c>
      <c r="F236" s="668">
        <f>B236*C235*E236/I236</f>
        <v>22557.80821917808</v>
      </c>
      <c r="G236" s="666"/>
      <c r="H236" s="669"/>
      <c r="I236" s="664">
        <v>365</v>
      </c>
    </row>
    <row r="237" spans="1:9" ht="12.75">
      <c r="A237" s="670">
        <v>52412</v>
      </c>
      <c r="B237" s="666">
        <f>A237-A236</f>
        <v>119</v>
      </c>
      <c r="C237" s="666">
        <f>C236-D237</f>
        <v>1000000</v>
      </c>
      <c r="D237" s="666">
        <v>500000</v>
      </c>
      <c r="E237" s="671">
        <f>$E$11+$E$12</f>
        <v>0.0664</v>
      </c>
      <c r="F237" s="668">
        <f>B237*C236*E237/I237</f>
        <v>32472.328767123287</v>
      </c>
      <c r="G237" s="666"/>
      <c r="H237" s="669"/>
      <c r="I237" s="664">
        <v>365</v>
      </c>
    </row>
    <row r="238" spans="1:9" ht="12.75">
      <c r="A238" s="670">
        <v>52504</v>
      </c>
      <c r="B238" s="666">
        <f>A238-A237</f>
        <v>92</v>
      </c>
      <c r="C238" s="666">
        <f>C237-D238</f>
        <v>500000</v>
      </c>
      <c r="D238" s="666">
        <v>500000</v>
      </c>
      <c r="E238" s="671">
        <f>$E$11+$E$12</f>
        <v>0.0664</v>
      </c>
      <c r="F238" s="668">
        <f>B238*C237*E238/I238</f>
        <v>16736.438356164384</v>
      </c>
      <c r="G238" s="666"/>
      <c r="H238" s="669"/>
      <c r="I238" s="664">
        <v>365</v>
      </c>
    </row>
    <row r="239" spans="1:9" ht="12.75">
      <c r="A239" s="670">
        <v>52596</v>
      </c>
      <c r="B239" s="666">
        <f>A239-A238</f>
        <v>92</v>
      </c>
      <c r="C239" s="666">
        <f>C238-D239</f>
        <v>0</v>
      </c>
      <c r="D239" s="666">
        <v>500000</v>
      </c>
      <c r="E239" s="671">
        <f>$E$11+$E$12</f>
        <v>0.0664</v>
      </c>
      <c r="F239" s="668">
        <f>B239*C238*E239/I239</f>
        <v>8368.219178082192</v>
      </c>
      <c r="G239" s="666"/>
      <c r="H239" s="669"/>
      <c r="I239" s="664">
        <v>365</v>
      </c>
    </row>
    <row r="240" spans="1:9" ht="12.75">
      <c r="A240" s="672"/>
      <c r="B240" s="673"/>
      <c r="C240" s="673">
        <f>C239</f>
        <v>0</v>
      </c>
      <c r="D240" s="673">
        <f>SUM(D236:D239)</f>
        <v>2000000</v>
      </c>
      <c r="E240" s="674"/>
      <c r="F240" s="675">
        <f>SUM(F236:F239)</f>
        <v>80134.79452054793</v>
      </c>
      <c r="G240" s="673"/>
      <c r="H240" s="676"/>
      <c r="I240" s="664"/>
    </row>
    <row r="241" spans="1:9" ht="12.75">
      <c r="A241" s="677"/>
      <c r="B241" s="677"/>
      <c r="C241" s="677"/>
      <c r="D241" s="677"/>
      <c r="E241" s="677"/>
      <c r="F241" s="677"/>
      <c r="G241" s="677"/>
      <c r="H241" s="677"/>
      <c r="I241" s="677"/>
    </row>
    <row r="242" spans="1:9" ht="12.75">
      <c r="A242" s="677"/>
      <c r="B242" s="677"/>
      <c r="C242" s="677"/>
      <c r="D242" s="677"/>
      <c r="E242" s="677"/>
      <c r="F242" s="677"/>
      <c r="G242" s="677"/>
      <c r="H242" s="677"/>
      <c r="I242" s="677"/>
    </row>
    <row r="243" spans="1:8" ht="22.5">
      <c r="A243" s="659" t="s">
        <v>114</v>
      </c>
      <c r="B243" s="660" t="s">
        <v>115</v>
      </c>
      <c r="C243" s="660" t="s">
        <v>116</v>
      </c>
      <c r="D243" s="660" t="s">
        <v>117</v>
      </c>
      <c r="E243" s="661" t="s">
        <v>118</v>
      </c>
      <c r="F243" s="662" t="s">
        <v>48</v>
      </c>
      <c r="G243" s="660"/>
      <c r="H243" s="663"/>
    </row>
    <row r="244" spans="1:8" ht="12.75">
      <c r="A244" s="665" t="s">
        <v>220</v>
      </c>
      <c r="B244" s="666"/>
      <c r="C244" s="666">
        <f>C239</f>
        <v>0</v>
      </c>
      <c r="D244" s="666"/>
      <c r="E244" s="667"/>
      <c r="F244" s="668"/>
      <c r="G244" s="666"/>
      <c r="H244" s="669"/>
    </row>
    <row r="245" spans="1:8" ht="12.75">
      <c r="A245" s="670">
        <v>52293</v>
      </c>
      <c r="B245" s="666">
        <f>A245-A238</f>
        <v>-211</v>
      </c>
      <c r="C245" s="666">
        <f>C244-D245</f>
        <v>0</v>
      </c>
      <c r="D245" s="666"/>
      <c r="E245" s="671">
        <f>$E$11+$E$12</f>
        <v>0.0664</v>
      </c>
      <c r="F245" s="668" t="e">
        <f>B245*C244*E245/I245</f>
        <v>#DIV/0!</v>
      </c>
      <c r="G245" s="666"/>
      <c r="H245" s="669"/>
    </row>
    <row r="246" spans="1:8" ht="12.75">
      <c r="A246" s="670">
        <v>52412</v>
      </c>
      <c r="B246" s="666">
        <f>A246-A245</f>
        <v>119</v>
      </c>
      <c r="C246" s="666">
        <f>C245-D246</f>
        <v>0</v>
      </c>
      <c r="D246" s="666"/>
      <c r="E246" s="671">
        <f>$E$11+$E$12</f>
        <v>0.0664</v>
      </c>
      <c r="F246" s="668" t="e">
        <f>B246*C245*E246/I246</f>
        <v>#DIV/0!</v>
      </c>
      <c r="G246" s="666"/>
      <c r="H246" s="669"/>
    </row>
    <row r="247" spans="1:8" ht="12.75">
      <c r="A247" s="670">
        <v>52504</v>
      </c>
      <c r="B247" s="666">
        <f>A247-A246</f>
        <v>92</v>
      </c>
      <c r="C247" s="666">
        <f>C246-D247</f>
        <v>0</v>
      </c>
      <c r="D247" s="666"/>
      <c r="E247" s="671">
        <f>$E$11+$E$12</f>
        <v>0.0664</v>
      </c>
      <c r="F247" s="668" t="e">
        <f>B247*C246*E247/I247</f>
        <v>#DIV/0!</v>
      </c>
      <c r="G247" s="666"/>
      <c r="H247" s="669"/>
    </row>
    <row r="248" spans="1:8" ht="12.75" customHeight="1">
      <c r="A248" s="670">
        <v>52596</v>
      </c>
      <c r="B248" s="666">
        <f>A248-A247</f>
        <v>92</v>
      </c>
      <c r="C248" s="666">
        <f>C247-D248</f>
        <v>0</v>
      </c>
      <c r="D248" s="666"/>
      <c r="E248" s="671">
        <f>$E$11+$E$12</f>
        <v>0.0664</v>
      </c>
      <c r="F248" s="668" t="e">
        <f>B248*C247*E248/I248</f>
        <v>#DIV/0!</v>
      </c>
      <c r="G248" s="666"/>
      <c r="H248" s="669"/>
    </row>
    <row r="249" spans="1:8" ht="12.75">
      <c r="A249" s="672"/>
      <c r="B249" s="673"/>
      <c r="C249" s="673">
        <f>C248</f>
        <v>0</v>
      </c>
      <c r="D249" s="673">
        <f>SUM(D245:D248)</f>
        <v>0</v>
      </c>
      <c r="E249" s="674"/>
      <c r="F249" s="675" t="e">
        <f>SUM(F245:F248)</f>
        <v>#DIV/0!</v>
      </c>
      <c r="G249" s="673"/>
      <c r="H249" s="676"/>
    </row>
  </sheetData>
  <sheetProtection selectLockedCells="1" selectUnlockedCells="1"/>
  <mergeCells count="32">
    <mergeCell ref="A1:B1"/>
    <mergeCell ref="A2:B2"/>
    <mergeCell ref="A3:B3"/>
    <mergeCell ref="A4:B4"/>
    <mergeCell ref="A6:B6"/>
    <mergeCell ref="A8:F8"/>
    <mergeCell ref="M14:O16"/>
    <mergeCell ref="A15:F15"/>
    <mergeCell ref="A16:F16"/>
    <mergeCell ref="A17:F17"/>
    <mergeCell ref="A18:F18"/>
    <mergeCell ref="A22:H22"/>
    <mergeCell ref="A32:H32"/>
    <mergeCell ref="A42:H42"/>
    <mergeCell ref="A52:H52"/>
    <mergeCell ref="A62:H62"/>
    <mergeCell ref="A72:H72"/>
    <mergeCell ref="A82:H82"/>
    <mergeCell ref="A92:H92"/>
    <mergeCell ref="A102:H102"/>
    <mergeCell ref="A112:H112"/>
    <mergeCell ref="A122:H122"/>
    <mergeCell ref="A132:H132"/>
    <mergeCell ref="A142:H142"/>
    <mergeCell ref="A212:H212"/>
    <mergeCell ref="A222:H222"/>
    <mergeCell ref="A152:H152"/>
    <mergeCell ref="A162:H162"/>
    <mergeCell ref="A172:H172"/>
    <mergeCell ref="A182:H182"/>
    <mergeCell ref="A192:H192"/>
    <mergeCell ref="A202:H20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7"/>
  <sheetViews>
    <sheetView zoomScale="85" zoomScaleNormal="85" zoomScalePageLayoutView="0" workbookViewId="0" topLeftCell="A1">
      <selection activeCell="O41" sqref="O41"/>
    </sheetView>
  </sheetViews>
  <sheetFormatPr defaultColWidth="9.140625" defaultRowHeight="12.75" outlineLevelRow="1"/>
  <cols>
    <col min="2" max="2" width="15.00390625" style="0" customWidth="1"/>
    <col min="3" max="3" width="26.00390625" style="0" customWidth="1"/>
    <col min="4" max="4" width="13.57421875" style="0" customWidth="1"/>
    <col min="5" max="5" width="11.28125" style="0" customWidth="1"/>
    <col min="6" max="6" width="10.7109375" style="0" customWidth="1"/>
    <col min="11" max="11" width="12.7109375" style="0" bestFit="1" customWidth="1"/>
    <col min="14" max="14" width="17.00390625" style="0" customWidth="1"/>
    <col min="15" max="15" width="24.00390625" style="0" customWidth="1"/>
    <col min="16" max="16" width="14.421875" style="0" customWidth="1"/>
  </cols>
  <sheetData>
    <row r="1" spans="1:10" ht="12.75" customHeight="1">
      <c r="A1" s="873" t="s">
        <v>98</v>
      </c>
      <c r="B1" s="873"/>
      <c r="C1" s="254"/>
      <c r="D1" s="254"/>
      <c r="E1" s="254"/>
      <c r="F1" s="254"/>
      <c r="G1" s="255"/>
      <c r="H1" s="255"/>
      <c r="I1" s="256"/>
      <c r="J1" s="256"/>
    </row>
    <row r="2" spans="1:10" ht="12.75">
      <c r="A2" s="874"/>
      <c r="B2" s="874"/>
      <c r="C2" s="254"/>
      <c r="D2" s="254"/>
      <c r="E2" s="254"/>
      <c r="F2" s="254"/>
      <c r="G2" s="255"/>
      <c r="H2" s="255"/>
      <c r="I2" s="256"/>
      <c r="J2" s="256"/>
    </row>
    <row r="3" spans="1:10" ht="12.75">
      <c r="A3" s="875"/>
      <c r="B3" s="875"/>
      <c r="C3" s="254"/>
      <c r="D3" s="254"/>
      <c r="E3" s="254"/>
      <c r="F3" s="254"/>
      <c r="G3" s="255"/>
      <c r="H3" s="255"/>
      <c r="I3" s="256"/>
      <c r="J3" s="256"/>
    </row>
    <row r="4" spans="1:10" ht="12.75" customHeight="1">
      <c r="A4" s="876" t="s">
        <v>99</v>
      </c>
      <c r="B4" s="876"/>
      <c r="C4" s="254"/>
      <c r="D4" s="254"/>
      <c r="E4" s="254"/>
      <c r="F4" s="254"/>
      <c r="G4" s="255"/>
      <c r="H4" s="255"/>
      <c r="I4" s="256"/>
      <c r="J4" s="256"/>
    </row>
    <row r="5" spans="1:10" ht="12.75">
      <c r="A5" s="254"/>
      <c r="B5" s="254"/>
      <c r="C5" s="254"/>
      <c r="D5" s="254"/>
      <c r="E5" s="254"/>
      <c r="F5" s="254"/>
      <c r="G5" s="255"/>
      <c r="H5" s="255"/>
      <c r="I5" s="256"/>
      <c r="J5" s="256"/>
    </row>
    <row r="6" spans="1:10" ht="12.75" customHeight="1">
      <c r="A6" s="877" t="s">
        <v>261</v>
      </c>
      <c r="B6" s="877"/>
      <c r="C6" s="254"/>
      <c r="D6" s="254"/>
      <c r="E6" s="254"/>
      <c r="F6" s="254"/>
      <c r="G6" s="255"/>
      <c r="H6" s="255"/>
      <c r="I6" s="256"/>
      <c r="J6" s="256"/>
    </row>
    <row r="7" spans="1:10" ht="12.75">
      <c r="A7" s="254"/>
      <c r="B7" s="254"/>
      <c r="C7" s="254"/>
      <c r="D7" s="254"/>
      <c r="E7" s="254"/>
      <c r="F7" s="254"/>
      <c r="G7" s="255"/>
      <c r="H7" s="255"/>
      <c r="I7" s="256"/>
      <c r="J7" s="256"/>
    </row>
    <row r="8" spans="1:10" ht="35.25" customHeight="1">
      <c r="A8" s="878" t="s">
        <v>262</v>
      </c>
      <c r="B8" s="878"/>
      <c r="C8" s="878"/>
      <c r="D8" s="878"/>
      <c r="E8" s="878"/>
      <c r="F8" s="878"/>
      <c r="G8" s="255"/>
      <c r="H8" s="255"/>
      <c r="I8" s="256"/>
      <c r="J8" s="256"/>
    </row>
    <row r="9" spans="1:10" ht="12.75">
      <c r="A9" s="256"/>
      <c r="B9" s="255"/>
      <c r="C9" s="255"/>
      <c r="D9" s="255"/>
      <c r="E9" s="257"/>
      <c r="F9" s="258"/>
      <c r="G9" s="255"/>
      <c r="H9" s="255"/>
      <c r="I9" s="256"/>
      <c r="J9" s="256"/>
    </row>
    <row r="10" spans="1:10" ht="12.75">
      <c r="A10" s="256"/>
      <c r="B10" s="255"/>
      <c r="C10" s="255"/>
      <c r="D10" s="255"/>
      <c r="E10" s="257"/>
      <c r="F10" s="258"/>
      <c r="G10" s="255"/>
      <c r="H10" s="255"/>
      <c r="I10" s="256"/>
      <c r="J10" s="256"/>
    </row>
    <row r="11" spans="1:10" ht="12.75">
      <c r="A11" s="256" t="s">
        <v>346</v>
      </c>
      <c r="B11" s="255"/>
      <c r="C11" s="255"/>
      <c r="D11" s="255"/>
      <c r="E11" s="560">
        <v>0.0585</v>
      </c>
      <c r="F11" s="258"/>
      <c r="G11" s="255"/>
      <c r="H11" s="255"/>
      <c r="I11" s="256"/>
      <c r="J11" s="256"/>
    </row>
    <row r="12" spans="1:10" ht="12.75">
      <c r="A12" s="256" t="s">
        <v>103</v>
      </c>
      <c r="B12" s="255"/>
      <c r="C12" s="255"/>
      <c r="D12" s="255"/>
      <c r="E12" s="260">
        <v>0</v>
      </c>
      <c r="F12" s="258"/>
      <c r="G12" s="255"/>
      <c r="H12" s="255"/>
      <c r="I12" s="256"/>
      <c r="J12" s="256"/>
    </row>
    <row r="13" spans="1:10" ht="13.5" thickBot="1">
      <c r="A13" s="256" t="s">
        <v>104</v>
      </c>
      <c r="B13" s="255"/>
      <c r="C13" s="255"/>
      <c r="D13" s="255"/>
      <c r="E13" s="261">
        <v>45627</v>
      </c>
      <c r="F13" s="258"/>
      <c r="G13" s="255"/>
      <c r="H13" s="255"/>
      <c r="I13" s="256"/>
      <c r="J13" s="256"/>
    </row>
    <row r="14" spans="1:15" ht="13.5" thickBot="1">
      <c r="A14" s="256"/>
      <c r="B14" s="255"/>
      <c r="C14" s="255"/>
      <c r="D14" s="255"/>
      <c r="E14" s="262"/>
      <c r="F14" s="258"/>
      <c r="G14" s="255"/>
      <c r="H14" s="255"/>
      <c r="I14" s="256"/>
      <c r="J14" s="256"/>
      <c r="M14" s="869" t="s">
        <v>350</v>
      </c>
      <c r="N14" s="869"/>
      <c r="O14" s="869"/>
    </row>
    <row r="15" spans="1:15" ht="13.5" thickBot="1">
      <c r="A15" s="870" t="s">
        <v>106</v>
      </c>
      <c r="B15" s="870"/>
      <c r="C15" s="870"/>
      <c r="D15" s="870"/>
      <c r="E15" s="870"/>
      <c r="F15" s="870"/>
      <c r="G15" s="255"/>
      <c r="H15" s="255"/>
      <c r="I15" s="256"/>
      <c r="J15" s="256"/>
      <c r="M15" s="869"/>
      <c r="N15" s="869"/>
      <c r="O15" s="869"/>
    </row>
    <row r="16" spans="1:15" ht="13.5" customHeight="1" thickBot="1">
      <c r="A16" s="871" t="s">
        <v>107</v>
      </c>
      <c r="B16" s="871"/>
      <c r="C16" s="871"/>
      <c r="D16" s="871"/>
      <c r="E16" s="871"/>
      <c r="F16" s="871"/>
      <c r="G16" s="255"/>
      <c r="H16" s="255"/>
      <c r="I16" s="256"/>
      <c r="J16" s="256"/>
      <c r="M16" s="869"/>
      <c r="N16" s="869"/>
      <c r="O16" s="869"/>
    </row>
    <row r="17" spans="1:15" ht="30" customHeight="1">
      <c r="A17" s="871" t="s">
        <v>108</v>
      </c>
      <c r="B17" s="871"/>
      <c r="C17" s="871"/>
      <c r="D17" s="871"/>
      <c r="E17" s="871"/>
      <c r="F17" s="871"/>
      <c r="G17" s="255"/>
      <c r="H17" s="255"/>
      <c r="I17" s="256"/>
      <c r="J17" s="256"/>
      <c r="M17" s="477" t="s">
        <v>109</v>
      </c>
      <c r="N17" s="478" t="s">
        <v>205</v>
      </c>
      <c r="O17" s="478" t="s">
        <v>206</v>
      </c>
    </row>
    <row r="18" spans="1:15" ht="12.75" customHeight="1">
      <c r="A18" s="872" t="s">
        <v>112</v>
      </c>
      <c r="B18" s="872"/>
      <c r="C18" s="872"/>
      <c r="D18" s="872"/>
      <c r="E18" s="872"/>
      <c r="F18" s="872"/>
      <c r="G18" s="255"/>
      <c r="H18" s="255"/>
      <c r="I18" s="256"/>
      <c r="J18" s="256"/>
      <c r="M18" s="265">
        <v>2025</v>
      </c>
      <c r="N18" s="842">
        <f>F60</f>
        <v>1586672.2602739725</v>
      </c>
      <c r="O18" s="842">
        <f>D60</f>
        <v>1000000</v>
      </c>
    </row>
    <row r="19" spans="1:15" ht="12.75">
      <c r="A19" s="267"/>
      <c r="B19" s="268"/>
      <c r="C19" s="268"/>
      <c r="D19" s="268"/>
      <c r="E19" s="269"/>
      <c r="F19" s="270"/>
      <c r="G19" s="255"/>
      <c r="H19" s="255"/>
      <c r="I19" s="256"/>
      <c r="J19" s="256"/>
      <c r="M19" s="265">
        <v>2026</v>
      </c>
      <c r="N19" s="842">
        <f>F70</f>
        <v>1528172.2602739725</v>
      </c>
      <c r="O19" s="842">
        <f>D70</f>
        <v>1000000</v>
      </c>
    </row>
    <row r="20" spans="1:15" ht="12.75">
      <c r="A20" s="256"/>
      <c r="B20" s="255"/>
      <c r="C20" s="255"/>
      <c r="D20" s="255"/>
      <c r="E20" s="257"/>
      <c r="F20" s="258"/>
      <c r="G20" s="255"/>
      <c r="H20" s="255"/>
      <c r="I20" s="256"/>
      <c r="J20" s="256"/>
      <c r="M20" s="265">
        <v>2027</v>
      </c>
      <c r="N20" s="842">
        <f>F80</f>
        <v>1458633.3904109588</v>
      </c>
      <c r="O20" s="842">
        <f>D80</f>
        <v>1500000</v>
      </c>
    </row>
    <row r="21" spans="1:15" ht="12.75">
      <c r="A21" s="291"/>
      <c r="B21" s="282"/>
      <c r="C21" s="282"/>
      <c r="D21" s="282"/>
      <c r="E21" s="284"/>
      <c r="F21" s="285"/>
      <c r="G21" s="282"/>
      <c r="H21" s="286"/>
      <c r="I21" s="256"/>
      <c r="J21" s="256"/>
      <c r="M21" s="265">
        <v>2028</v>
      </c>
      <c r="N21" s="842">
        <f>F90</f>
        <v>1370973.8729508198</v>
      </c>
      <c r="O21" s="842">
        <f>D90</f>
        <v>1500000</v>
      </c>
    </row>
    <row r="22" spans="1:15" ht="12.75" outlineLevel="1">
      <c r="A22" s="864" t="s">
        <v>113</v>
      </c>
      <c r="B22" s="864"/>
      <c r="C22" s="864"/>
      <c r="D22" s="864"/>
      <c r="E22" s="864"/>
      <c r="F22" s="864"/>
      <c r="G22" s="864"/>
      <c r="H22" s="864"/>
      <c r="I22" s="256"/>
      <c r="J22" s="256"/>
      <c r="M22" s="265">
        <v>2029</v>
      </c>
      <c r="N22" s="842">
        <f>F100</f>
        <v>1283133.3904109588</v>
      </c>
      <c r="O22" s="842">
        <f>D100</f>
        <v>1500000</v>
      </c>
    </row>
    <row r="23" spans="1:15" ht="12.75" outlineLevel="1">
      <c r="A23" s="271"/>
      <c r="B23" s="272"/>
      <c r="C23" s="272"/>
      <c r="D23" s="272"/>
      <c r="E23" s="273"/>
      <c r="F23" s="274"/>
      <c r="G23" s="272"/>
      <c r="H23" s="275"/>
      <c r="I23" s="256"/>
      <c r="J23" s="256"/>
      <c r="M23" s="265">
        <v>2030</v>
      </c>
      <c r="N23" s="842">
        <f>F110</f>
        <v>1195383.390410959</v>
      </c>
      <c r="O23" s="842">
        <f>D110</f>
        <v>1500000</v>
      </c>
    </row>
    <row r="24" spans="1:15" ht="22.5" outlineLevel="1">
      <c r="A24" s="276" t="s">
        <v>114</v>
      </c>
      <c r="B24" s="277" t="s">
        <v>115</v>
      </c>
      <c r="C24" s="277" t="s">
        <v>116</v>
      </c>
      <c r="D24" s="277" t="s">
        <v>117</v>
      </c>
      <c r="E24" s="278" t="s">
        <v>118</v>
      </c>
      <c r="F24" s="279" t="s">
        <v>48</v>
      </c>
      <c r="G24" s="277"/>
      <c r="H24" s="280"/>
      <c r="I24" s="256"/>
      <c r="J24" s="256"/>
      <c r="M24" s="265">
        <v>2031</v>
      </c>
      <c r="N24" s="842">
        <f>F120</f>
        <v>1107633.3904109588</v>
      </c>
      <c r="O24" s="842">
        <f>D120</f>
        <v>1500000</v>
      </c>
    </row>
    <row r="25" spans="1:15" ht="12.75" outlineLevel="1">
      <c r="A25" s="281" t="s">
        <v>121</v>
      </c>
      <c r="B25" s="282"/>
      <c r="C25" s="282"/>
      <c r="D25" s="282"/>
      <c r="E25" s="284"/>
      <c r="F25" s="285"/>
      <c r="G25" s="282"/>
      <c r="H25" s="286"/>
      <c r="I25" s="256"/>
      <c r="J25" s="256"/>
      <c r="M25" s="265">
        <v>2032</v>
      </c>
      <c r="N25" s="842">
        <f>F130</f>
        <v>1030982.5819672131</v>
      </c>
      <c r="O25" s="842">
        <f>D130</f>
        <v>1000000</v>
      </c>
    </row>
    <row r="26" spans="1:15" ht="12.75" outlineLevel="1">
      <c r="A26" s="307">
        <v>44651</v>
      </c>
      <c r="B26" s="282"/>
      <c r="C26" s="282"/>
      <c r="D26" s="282"/>
      <c r="E26" s="308">
        <f>$E$11+$E$12</f>
        <v>0.0585</v>
      </c>
      <c r="F26" s="285"/>
      <c r="G26" s="282"/>
      <c r="H26" s="286"/>
      <c r="I26" s="256">
        <v>365</v>
      </c>
      <c r="J26" s="256"/>
      <c r="M26" s="265">
        <v>2033</v>
      </c>
      <c r="N26" s="842">
        <f>F140</f>
        <v>972422.2602739726</v>
      </c>
      <c r="O26" s="842">
        <f>D140</f>
        <v>1000000</v>
      </c>
    </row>
    <row r="27" spans="1:15" ht="12.75" outlineLevel="1">
      <c r="A27" s="307">
        <v>44742</v>
      </c>
      <c r="B27" s="282">
        <v>30</v>
      </c>
      <c r="C27" s="282"/>
      <c r="D27" s="282">
        <v>0</v>
      </c>
      <c r="E27" s="308">
        <f>$E$11+$E$12</f>
        <v>0.0585</v>
      </c>
      <c r="F27" s="285">
        <f>B27*C26*E27/I27</f>
        <v>0</v>
      </c>
      <c r="G27" s="282"/>
      <c r="H27" s="286"/>
      <c r="I27" s="256">
        <v>365</v>
      </c>
      <c r="J27" s="256"/>
      <c r="M27" s="265">
        <v>2034</v>
      </c>
      <c r="N27" s="842">
        <f>F150</f>
        <v>913922.2602739725</v>
      </c>
      <c r="O27" s="842">
        <f>D150</f>
        <v>1000000</v>
      </c>
    </row>
    <row r="28" spans="1:15" ht="12.75" outlineLevel="1">
      <c r="A28" s="307">
        <v>44834</v>
      </c>
      <c r="B28" s="282">
        <f>A28-A27</f>
        <v>92</v>
      </c>
      <c r="C28" s="282"/>
      <c r="D28" s="282"/>
      <c r="E28" s="308">
        <f>$E$11+$E$12</f>
        <v>0.0585</v>
      </c>
      <c r="F28" s="285">
        <f>B28*C27*E28/I28</f>
        <v>0</v>
      </c>
      <c r="G28" s="282"/>
      <c r="H28" s="286"/>
      <c r="I28" s="256">
        <v>365</v>
      </c>
      <c r="J28" s="256"/>
      <c r="M28" s="265">
        <v>2035</v>
      </c>
      <c r="N28" s="842">
        <f>F160</f>
        <v>855422.2602739725</v>
      </c>
      <c r="O28" s="842">
        <f>D160</f>
        <v>1000000</v>
      </c>
    </row>
    <row r="29" spans="1:15" ht="12.75" outlineLevel="1">
      <c r="A29" s="307">
        <v>44926</v>
      </c>
      <c r="B29" s="282">
        <f>A29-A28</f>
        <v>92</v>
      </c>
      <c r="C29" s="282"/>
      <c r="D29" s="282"/>
      <c r="E29" s="308">
        <f>$E$11+$E$12</f>
        <v>0.0585</v>
      </c>
      <c r="F29" s="285">
        <f>B29*C28*E29/I29</f>
        <v>0</v>
      </c>
      <c r="G29" s="282"/>
      <c r="H29" s="286"/>
      <c r="I29" s="256">
        <v>365</v>
      </c>
      <c r="J29" s="256"/>
      <c r="M29" s="265">
        <v>2036</v>
      </c>
      <c r="N29" s="842">
        <f>F170</f>
        <v>796982.5819672132</v>
      </c>
      <c r="O29" s="842">
        <f>D170</f>
        <v>1000000</v>
      </c>
    </row>
    <row r="30" spans="1:15" ht="12.75" outlineLevel="1">
      <c r="A30" s="309"/>
      <c r="B30" s="288"/>
      <c r="C30" s="288">
        <f>C29</f>
        <v>0</v>
      </c>
      <c r="D30" s="288">
        <f>SUM(D26:D29)</f>
        <v>0</v>
      </c>
      <c r="E30" s="289"/>
      <c r="F30" s="274">
        <f>SUM(F27:F29)</f>
        <v>0</v>
      </c>
      <c r="G30" s="288"/>
      <c r="H30" s="290"/>
      <c r="I30" s="256"/>
      <c r="J30" s="256"/>
      <c r="M30" s="265">
        <v>2037</v>
      </c>
      <c r="N30" s="842">
        <f>F180</f>
        <v>738422.2602739726</v>
      </c>
      <c r="O30" s="842">
        <f>D180</f>
        <v>1000000</v>
      </c>
    </row>
    <row r="31" spans="1:15" ht="12.75" outlineLevel="1">
      <c r="A31" s="291"/>
      <c r="B31" s="282"/>
      <c r="C31" s="282"/>
      <c r="D31" s="282"/>
      <c r="E31" s="284"/>
      <c r="F31" s="285"/>
      <c r="G31" s="282"/>
      <c r="H31" s="286"/>
      <c r="I31" s="256"/>
      <c r="J31" s="256"/>
      <c r="M31" s="265">
        <v>2038</v>
      </c>
      <c r="N31" s="842">
        <f>F190</f>
        <v>679922.2602739726</v>
      </c>
      <c r="O31" s="842">
        <f>D190</f>
        <v>1000000</v>
      </c>
    </row>
    <row r="32" spans="1:15" ht="12.75" outlineLevel="1">
      <c r="A32" s="864" t="s">
        <v>113</v>
      </c>
      <c r="B32" s="864"/>
      <c r="C32" s="864"/>
      <c r="D32" s="864"/>
      <c r="E32" s="864"/>
      <c r="F32" s="864"/>
      <c r="G32" s="864"/>
      <c r="H32" s="864"/>
      <c r="I32" s="256"/>
      <c r="J32" s="256"/>
      <c r="M32" s="265">
        <v>2039</v>
      </c>
      <c r="N32" s="842">
        <f>F200</f>
        <v>621422.2602739726</v>
      </c>
      <c r="O32" s="842">
        <f>D200</f>
        <v>1000000</v>
      </c>
    </row>
    <row r="33" spans="1:15" ht="12.75" outlineLevel="1">
      <c r="A33" s="271"/>
      <c r="B33" s="272"/>
      <c r="C33" s="272"/>
      <c r="D33" s="272"/>
      <c r="E33" s="273"/>
      <c r="F33" s="274"/>
      <c r="G33" s="272"/>
      <c r="H33" s="275"/>
      <c r="I33" s="256"/>
      <c r="J33" s="256"/>
      <c r="M33" s="265">
        <v>2040</v>
      </c>
      <c r="N33" s="842">
        <f>F210</f>
        <v>562982.5819672131</v>
      </c>
      <c r="O33" s="842">
        <f>D210</f>
        <v>1000000</v>
      </c>
    </row>
    <row r="34" spans="1:15" ht="22.5" outlineLevel="1">
      <c r="A34" s="276" t="s">
        <v>114</v>
      </c>
      <c r="B34" s="277" t="s">
        <v>115</v>
      </c>
      <c r="C34" s="277" t="s">
        <v>116</v>
      </c>
      <c r="D34" s="277" t="s">
        <v>117</v>
      </c>
      <c r="E34" s="278" t="s">
        <v>118</v>
      </c>
      <c r="F34" s="279" t="s">
        <v>48</v>
      </c>
      <c r="G34" s="277"/>
      <c r="H34" s="280"/>
      <c r="I34" s="256"/>
      <c r="J34" s="256"/>
      <c r="M34" s="265">
        <v>2041</v>
      </c>
      <c r="N34" s="842">
        <f>F220</f>
        <v>504422.2602739726</v>
      </c>
      <c r="O34" s="842">
        <f>D220</f>
        <v>1000000</v>
      </c>
    </row>
    <row r="35" spans="1:15" ht="12.75" outlineLevel="1">
      <c r="A35" s="281" t="s">
        <v>122</v>
      </c>
      <c r="B35" s="282"/>
      <c r="C35" s="282">
        <f>C30</f>
        <v>0</v>
      </c>
      <c r="D35" s="282"/>
      <c r="E35" s="284"/>
      <c r="F35" s="285"/>
      <c r="G35" s="282"/>
      <c r="H35" s="286"/>
      <c r="I35" s="256"/>
      <c r="J35" s="256"/>
      <c r="M35" s="265">
        <v>2042</v>
      </c>
      <c r="N35" s="842">
        <f>F230</f>
        <v>445922.2602739726</v>
      </c>
      <c r="O35" s="842">
        <f>D230</f>
        <v>1000000</v>
      </c>
    </row>
    <row r="36" spans="1:15" ht="12.75" outlineLevel="1">
      <c r="A36" s="307">
        <v>45016</v>
      </c>
      <c r="B36" s="282">
        <f>A36-A29</f>
        <v>90</v>
      </c>
      <c r="C36" s="282">
        <f>C35-D36</f>
        <v>0</v>
      </c>
      <c r="D36" s="282"/>
      <c r="E36" s="308">
        <f>$E$11+$E$12</f>
        <v>0.0585</v>
      </c>
      <c r="F36" s="285">
        <f>B36*C35*E36/I36</f>
        <v>0</v>
      </c>
      <c r="G36" s="282"/>
      <c r="H36" s="286"/>
      <c r="I36" s="256">
        <v>365</v>
      </c>
      <c r="J36" s="256"/>
      <c r="M36" s="265">
        <v>2043</v>
      </c>
      <c r="N36" s="842">
        <f>F240</f>
        <v>365344.5205479452</v>
      </c>
      <c r="O36" s="842">
        <f>D240</f>
        <v>2000000</v>
      </c>
    </row>
    <row r="37" spans="1:15" ht="12.75" outlineLevel="1">
      <c r="A37" s="307">
        <v>45107</v>
      </c>
      <c r="B37" s="282">
        <f>A37-A36</f>
        <v>91</v>
      </c>
      <c r="C37" s="282">
        <f>C36-D37</f>
        <v>0</v>
      </c>
      <c r="D37" s="282"/>
      <c r="E37" s="308">
        <f>$E$11+$E$12</f>
        <v>0.0585</v>
      </c>
      <c r="F37" s="285">
        <f>B37*C36*E37/I37</f>
        <v>0</v>
      </c>
      <c r="G37" s="282"/>
      <c r="H37" s="286"/>
      <c r="I37" s="256">
        <v>365</v>
      </c>
      <c r="J37" s="256"/>
      <c r="M37" s="265">
        <v>2044</v>
      </c>
      <c r="N37" s="842">
        <f>F249</f>
        <v>182412.90983606558</v>
      </c>
      <c r="O37" s="842">
        <f>D249</f>
        <v>5000000</v>
      </c>
    </row>
    <row r="38" spans="1:15" ht="12.75" outlineLevel="1">
      <c r="A38" s="307">
        <v>45199</v>
      </c>
      <c r="B38" s="282">
        <f>A38-A37</f>
        <v>92</v>
      </c>
      <c r="C38" s="282">
        <f>C37-D38</f>
        <v>0</v>
      </c>
      <c r="D38" s="282"/>
      <c r="E38" s="308">
        <f>$E$11+$E$12</f>
        <v>0.0585</v>
      </c>
      <c r="F38" s="285">
        <f>B38*C37*E38/I38</f>
        <v>0</v>
      </c>
      <c r="G38" s="282"/>
      <c r="H38" s="286"/>
      <c r="I38" s="256">
        <v>365</v>
      </c>
      <c r="J38" s="256"/>
      <c r="M38" s="265" t="s">
        <v>42</v>
      </c>
      <c r="N38" s="843">
        <f>SUM(N18:N37)</f>
        <v>18201185.21362003</v>
      </c>
      <c r="O38" s="843">
        <f>SUM(O18:O37)</f>
        <v>27500000</v>
      </c>
    </row>
    <row r="39" spans="1:10" ht="12.75" outlineLevel="1">
      <c r="A39" s="307">
        <v>45291</v>
      </c>
      <c r="B39" s="282">
        <f>A39-A38</f>
        <v>92</v>
      </c>
      <c r="C39" s="282">
        <v>0</v>
      </c>
      <c r="D39" s="282"/>
      <c r="E39" s="308">
        <f>$E$11+$E$12</f>
        <v>0.0585</v>
      </c>
      <c r="F39" s="285">
        <f>B39*C38*E39/I39</f>
        <v>0</v>
      </c>
      <c r="G39" s="282"/>
      <c r="H39" s="286"/>
      <c r="I39" s="256">
        <v>365</v>
      </c>
      <c r="J39" s="256"/>
    </row>
    <row r="40" spans="1:10" ht="12.75" outlineLevel="1">
      <c r="A40" s="309"/>
      <c r="B40" s="288"/>
      <c r="C40" s="288">
        <f>C39</f>
        <v>0</v>
      </c>
      <c r="D40" s="288">
        <f>SUM(D36:D39)</f>
        <v>0</v>
      </c>
      <c r="E40" s="289"/>
      <c r="F40" s="274">
        <f>SUM(F36:F39)</f>
        <v>0</v>
      </c>
      <c r="G40" s="288"/>
      <c r="H40" s="290"/>
      <c r="I40" s="256"/>
      <c r="J40" s="256"/>
    </row>
    <row r="41" spans="1:14" ht="12.75" outlineLevel="1">
      <c r="A41" s="291"/>
      <c r="B41" s="282"/>
      <c r="C41" s="282"/>
      <c r="D41" s="282"/>
      <c r="E41" s="284"/>
      <c r="F41" s="285"/>
      <c r="G41" s="282"/>
      <c r="H41" s="286"/>
      <c r="I41" s="256"/>
      <c r="J41" s="256"/>
      <c r="N41" s="555">
        <f>N38-K249</f>
        <v>0</v>
      </c>
    </row>
    <row r="42" spans="1:10" ht="12.75" outlineLevel="1">
      <c r="A42" s="864" t="s">
        <v>113</v>
      </c>
      <c r="B42" s="864"/>
      <c r="C42" s="864"/>
      <c r="D42" s="864"/>
      <c r="E42" s="864"/>
      <c r="F42" s="864"/>
      <c r="G42" s="864"/>
      <c r="H42" s="864"/>
      <c r="I42" s="256"/>
      <c r="J42" s="256"/>
    </row>
    <row r="43" spans="1:10" ht="12.75" outlineLevel="1">
      <c r="A43" s="271"/>
      <c r="B43" s="272"/>
      <c r="C43" s="272"/>
      <c r="D43" s="272"/>
      <c r="E43" s="273"/>
      <c r="F43" s="274"/>
      <c r="G43" s="272"/>
      <c r="H43" s="275"/>
      <c r="I43" s="256"/>
      <c r="J43" s="256"/>
    </row>
    <row r="44" spans="1:10" ht="22.5" outlineLevel="1">
      <c r="A44" s="276" t="s">
        <v>114</v>
      </c>
      <c r="B44" s="277" t="s">
        <v>115</v>
      </c>
      <c r="C44" s="277" t="s">
        <v>116</v>
      </c>
      <c r="D44" s="277" t="s">
        <v>117</v>
      </c>
      <c r="E44" s="278" t="s">
        <v>118</v>
      </c>
      <c r="F44" s="279" t="s">
        <v>48</v>
      </c>
      <c r="G44" s="277"/>
      <c r="H44" s="280"/>
      <c r="I44" s="256"/>
      <c r="J44" s="256"/>
    </row>
    <row r="45" spans="1:10" ht="12.75" outlineLevel="1">
      <c r="A45" s="281" t="s">
        <v>123</v>
      </c>
      <c r="B45" s="282"/>
      <c r="C45" s="282">
        <f>C40</f>
        <v>0</v>
      </c>
      <c r="D45" s="282"/>
      <c r="E45" s="284"/>
      <c r="F45" s="285"/>
      <c r="G45" s="282"/>
      <c r="H45" s="286"/>
      <c r="I45" s="256"/>
      <c r="J45" s="256"/>
    </row>
    <row r="46" spans="1:10" ht="12.75" outlineLevel="1">
      <c r="A46" s="307">
        <v>45382</v>
      </c>
      <c r="B46" s="282">
        <f>A46-A39</f>
        <v>91</v>
      </c>
      <c r="C46" s="282">
        <f>C45-D46</f>
        <v>0</v>
      </c>
      <c r="D46" s="282"/>
      <c r="E46" s="308">
        <f>$E$11+$E$12</f>
        <v>0.0585</v>
      </c>
      <c r="F46" s="285">
        <f>B46*C45*E46/I46</f>
        <v>0</v>
      </c>
      <c r="G46" s="282"/>
      <c r="H46" s="286"/>
      <c r="I46" s="256">
        <v>366</v>
      </c>
      <c r="J46" s="256"/>
    </row>
    <row r="47" spans="1:10" ht="12.75" outlineLevel="1">
      <c r="A47" s="307">
        <v>45473</v>
      </c>
      <c r="B47" s="282">
        <f>A47-A46</f>
        <v>91</v>
      </c>
      <c r="C47" s="282">
        <f>C46-D47</f>
        <v>0</v>
      </c>
      <c r="D47" s="282"/>
      <c r="E47" s="308">
        <f>$E$11+$E$12</f>
        <v>0.0585</v>
      </c>
      <c r="F47" s="285">
        <f>B47*C46*E47/I47</f>
        <v>0</v>
      </c>
      <c r="G47" s="282"/>
      <c r="H47" s="286"/>
      <c r="I47" s="256">
        <v>366</v>
      </c>
      <c r="J47" s="256"/>
    </row>
    <row r="48" spans="1:10" ht="12.75" outlineLevel="1">
      <c r="A48" s="307">
        <v>45565</v>
      </c>
      <c r="B48" s="282">
        <f>A48-A47</f>
        <v>92</v>
      </c>
      <c r="C48" s="282">
        <f>C47-D48</f>
        <v>0</v>
      </c>
      <c r="D48" s="282"/>
      <c r="E48" s="308">
        <f>$E$11+$E$12</f>
        <v>0.0585</v>
      </c>
      <c r="F48" s="285">
        <f>B48*C47*E48/I48</f>
        <v>0</v>
      </c>
      <c r="G48" s="282"/>
      <c r="H48" s="286"/>
      <c r="I48" s="256">
        <v>366</v>
      </c>
      <c r="J48" s="256"/>
    </row>
    <row r="49" spans="1:10" ht="12.75" outlineLevel="1">
      <c r="A49" s="307">
        <v>45657</v>
      </c>
      <c r="B49" s="282">
        <f>A49-A48</f>
        <v>92</v>
      </c>
      <c r="C49" s="282">
        <f>25000000+2500000</f>
        <v>27500000</v>
      </c>
      <c r="D49" s="282"/>
      <c r="E49" s="308">
        <f>$E$11+$E$12</f>
        <v>0.0585</v>
      </c>
      <c r="F49" s="285">
        <f>B49*C48*E49/I49</f>
        <v>0</v>
      </c>
      <c r="G49" s="282"/>
      <c r="H49" s="286"/>
      <c r="I49" s="256">
        <v>366</v>
      </c>
      <c r="J49" s="256"/>
    </row>
    <row r="50" spans="1:10" ht="12.75" outlineLevel="1">
      <c r="A50" s="309"/>
      <c r="B50" s="288"/>
      <c r="C50" s="288">
        <f>C49</f>
        <v>27500000</v>
      </c>
      <c r="D50" s="288">
        <f>SUM(D46:D49)</f>
        <v>0</v>
      </c>
      <c r="E50" s="289"/>
      <c r="F50" s="274">
        <f>SUM(F46:F49)</f>
        <v>0</v>
      </c>
      <c r="G50" s="288"/>
      <c r="H50" s="290"/>
      <c r="I50" s="256"/>
      <c r="J50" s="256"/>
    </row>
    <row r="51" spans="1:10" ht="12.75" outlineLevel="1">
      <c r="A51" s="291"/>
      <c r="B51" s="282"/>
      <c r="C51" s="282"/>
      <c r="D51" s="282"/>
      <c r="E51" s="284"/>
      <c r="F51" s="285"/>
      <c r="G51" s="282"/>
      <c r="H51" s="282"/>
      <c r="I51" s="256"/>
      <c r="J51" s="256"/>
    </row>
    <row r="52" spans="1:10" ht="12.75" outlineLevel="1">
      <c r="A52" s="864" t="s">
        <v>113</v>
      </c>
      <c r="B52" s="864"/>
      <c r="C52" s="864"/>
      <c r="D52" s="864"/>
      <c r="E52" s="864"/>
      <c r="F52" s="864"/>
      <c r="G52" s="864"/>
      <c r="H52" s="864"/>
      <c r="I52" s="256"/>
      <c r="J52" s="256"/>
    </row>
    <row r="53" spans="1:10" ht="12.75" outlineLevel="1">
      <c r="A53" s="271"/>
      <c r="B53" s="272"/>
      <c r="C53" s="272"/>
      <c r="D53" s="272"/>
      <c r="E53" s="273"/>
      <c r="F53" s="274"/>
      <c r="G53" s="272"/>
      <c r="H53" s="275"/>
      <c r="I53" s="256"/>
      <c r="J53" s="256"/>
    </row>
    <row r="54" spans="1:10" ht="22.5" outlineLevel="1">
      <c r="A54" s="276" t="s">
        <v>114</v>
      </c>
      <c r="B54" s="277" t="s">
        <v>115</v>
      </c>
      <c r="C54" s="277" t="s">
        <v>116</v>
      </c>
      <c r="D54" s="277" t="s">
        <v>117</v>
      </c>
      <c r="E54" s="278" t="s">
        <v>118</v>
      </c>
      <c r="F54" s="279" t="s">
        <v>48</v>
      </c>
      <c r="G54" s="277"/>
      <c r="H54" s="280"/>
      <c r="I54" s="256"/>
      <c r="J54" s="256"/>
    </row>
    <row r="55" spans="1:10" ht="12.75" outlineLevel="1">
      <c r="A55" s="281" t="s">
        <v>207</v>
      </c>
      <c r="B55" s="282"/>
      <c r="C55" s="282">
        <f>C50</f>
        <v>27500000</v>
      </c>
      <c r="D55" s="282"/>
      <c r="E55" s="284"/>
      <c r="F55" s="285"/>
      <c r="G55" s="282"/>
      <c r="H55" s="286"/>
      <c r="I55" s="256"/>
      <c r="J55" s="256"/>
    </row>
    <row r="56" spans="1:10" ht="12.75" outlineLevel="1">
      <c r="A56" s="307">
        <v>45747</v>
      </c>
      <c r="B56" s="282">
        <v>90</v>
      </c>
      <c r="C56" s="282">
        <f>C55-D56</f>
        <v>27250000</v>
      </c>
      <c r="D56" s="282">
        <v>250000</v>
      </c>
      <c r="E56" s="308">
        <f>$E$11+$E$12</f>
        <v>0.0585</v>
      </c>
      <c r="F56" s="285">
        <f>B56*C55*E56/I56</f>
        <v>396678.08219178085</v>
      </c>
      <c r="G56" s="282"/>
      <c r="H56" s="286"/>
      <c r="I56" s="256">
        <v>365</v>
      </c>
      <c r="J56" s="256"/>
    </row>
    <row r="57" spans="1:10" ht="12.75" outlineLevel="1">
      <c r="A57" s="307">
        <v>45838</v>
      </c>
      <c r="B57" s="282">
        <f>A57-A56</f>
        <v>91</v>
      </c>
      <c r="C57" s="282">
        <f>C56-D57</f>
        <v>27000000</v>
      </c>
      <c r="D57" s="282">
        <v>250000</v>
      </c>
      <c r="E57" s="308">
        <f>$E$11+$E$12</f>
        <v>0.0585</v>
      </c>
      <c r="F57" s="285">
        <f>B57*C56*E57/I57</f>
        <v>397439.38356164383</v>
      </c>
      <c r="G57" s="282"/>
      <c r="H57" s="286"/>
      <c r="I57" s="256">
        <v>365</v>
      </c>
      <c r="J57" s="256"/>
    </row>
    <row r="58" spans="1:10" ht="12.75" outlineLevel="1">
      <c r="A58" s="307">
        <v>45930</v>
      </c>
      <c r="B58" s="282">
        <f>A58-A57</f>
        <v>92</v>
      </c>
      <c r="C58" s="282">
        <f>C57-D58</f>
        <v>26750000</v>
      </c>
      <c r="D58" s="282">
        <v>250000</v>
      </c>
      <c r="E58" s="308">
        <f>$E$11+$E$12</f>
        <v>0.0585</v>
      </c>
      <c r="F58" s="285">
        <f>B58*C57*E58/I58</f>
        <v>398120.5479452055</v>
      </c>
      <c r="G58" s="282"/>
      <c r="H58" s="286"/>
      <c r="I58" s="256">
        <v>365</v>
      </c>
      <c r="J58" s="256"/>
    </row>
    <row r="59" spans="1:10" ht="12.75" outlineLevel="1">
      <c r="A59" s="307">
        <v>46022</v>
      </c>
      <c r="B59" s="282">
        <f>A59-A58</f>
        <v>92</v>
      </c>
      <c r="C59" s="282">
        <f>C58-D59</f>
        <v>26500000</v>
      </c>
      <c r="D59" s="282">
        <v>250000</v>
      </c>
      <c r="E59" s="308">
        <f>$E$11+$E$12</f>
        <v>0.0585</v>
      </c>
      <c r="F59" s="285">
        <f>B59*C58*E59/I59</f>
        <v>394434.2465753425</v>
      </c>
      <c r="G59" s="282"/>
      <c r="H59" s="286"/>
      <c r="I59" s="256">
        <v>365</v>
      </c>
      <c r="J59" s="256"/>
    </row>
    <row r="60" spans="1:10" ht="12.75" outlineLevel="1">
      <c r="A60" s="309"/>
      <c r="B60" s="288"/>
      <c r="C60" s="288">
        <f>C59</f>
        <v>26500000</v>
      </c>
      <c r="D60" s="288">
        <f>SUM(D56:D59)</f>
        <v>1000000</v>
      </c>
      <c r="E60" s="289"/>
      <c r="F60" s="274">
        <f>SUM(F56:F59)</f>
        <v>1586672.2602739725</v>
      </c>
      <c r="G60" s="288"/>
      <c r="H60" s="290"/>
      <c r="I60" s="256"/>
      <c r="J60" s="256"/>
    </row>
    <row r="61" spans="1:10" ht="12.75" outlineLevel="1">
      <c r="A61" s="291"/>
      <c r="B61" s="282"/>
      <c r="C61" s="282"/>
      <c r="D61" s="282"/>
      <c r="E61" s="284"/>
      <c r="F61" s="285"/>
      <c r="G61" s="282"/>
      <c r="H61" s="282"/>
      <c r="I61" s="256"/>
      <c r="J61" s="256"/>
    </row>
    <row r="62" spans="1:10" ht="12.75" outlineLevel="1">
      <c r="A62" s="864" t="s">
        <v>113</v>
      </c>
      <c r="B62" s="864"/>
      <c r="C62" s="864"/>
      <c r="D62" s="864"/>
      <c r="E62" s="864"/>
      <c r="F62" s="864"/>
      <c r="G62" s="864"/>
      <c r="H62" s="864"/>
      <c r="I62" s="256"/>
      <c r="J62" s="256"/>
    </row>
    <row r="63" spans="1:10" ht="12.75" outlineLevel="1">
      <c r="A63" s="271"/>
      <c r="B63" s="272"/>
      <c r="C63" s="272"/>
      <c r="D63" s="272"/>
      <c r="E63" s="273"/>
      <c r="F63" s="274"/>
      <c r="G63" s="272"/>
      <c r="H63" s="275"/>
      <c r="I63" s="256"/>
      <c r="J63" s="256"/>
    </row>
    <row r="64" spans="1:10" ht="22.5" outlineLevel="1">
      <c r="A64" s="276" t="s">
        <v>114</v>
      </c>
      <c r="B64" s="277" t="s">
        <v>115</v>
      </c>
      <c r="C64" s="277" t="s">
        <v>116</v>
      </c>
      <c r="D64" s="277" t="s">
        <v>117</v>
      </c>
      <c r="E64" s="278" t="s">
        <v>118</v>
      </c>
      <c r="F64" s="279" t="s">
        <v>48</v>
      </c>
      <c r="G64" s="277"/>
      <c r="H64" s="280"/>
      <c r="I64" s="256"/>
      <c r="J64" s="256"/>
    </row>
    <row r="65" spans="1:10" ht="12.75" outlineLevel="1">
      <c r="A65" s="281" t="s">
        <v>125</v>
      </c>
      <c r="B65" s="282"/>
      <c r="C65" s="282">
        <f>C60</f>
        <v>26500000</v>
      </c>
      <c r="D65" s="282"/>
      <c r="E65" s="284"/>
      <c r="F65" s="285"/>
      <c r="G65" s="282"/>
      <c r="H65" s="286"/>
      <c r="I65" s="256"/>
      <c r="J65" s="256"/>
    </row>
    <row r="66" spans="1:10" ht="12.75" outlineLevel="1">
      <c r="A66" s="307">
        <v>46112</v>
      </c>
      <c r="B66" s="282">
        <f>A66-A59</f>
        <v>90</v>
      </c>
      <c r="C66" s="282">
        <f>C65-D66</f>
        <v>26250000</v>
      </c>
      <c r="D66" s="282">
        <v>250000</v>
      </c>
      <c r="E66" s="308">
        <f>$E$11+$E$12</f>
        <v>0.0585</v>
      </c>
      <c r="F66" s="285">
        <f>B66*C65*E66/I66</f>
        <v>382253.4246575342</v>
      </c>
      <c r="G66" s="282"/>
      <c r="H66" s="286"/>
      <c r="I66" s="256">
        <v>365</v>
      </c>
      <c r="J66" s="256"/>
    </row>
    <row r="67" spans="1:10" ht="12.75" outlineLevel="1">
      <c r="A67" s="307">
        <v>46203</v>
      </c>
      <c r="B67" s="282">
        <f>A67-A66</f>
        <v>91</v>
      </c>
      <c r="C67" s="282">
        <f>C66-D67</f>
        <v>26000000</v>
      </c>
      <c r="D67" s="282">
        <v>250000</v>
      </c>
      <c r="E67" s="308">
        <f>$E$11+$E$12</f>
        <v>0.0585</v>
      </c>
      <c r="F67" s="285">
        <f>B67*C66*E67/I67</f>
        <v>382854.4520547945</v>
      </c>
      <c r="G67" s="282"/>
      <c r="H67" s="286"/>
      <c r="I67" s="256">
        <v>365</v>
      </c>
      <c r="J67" s="256"/>
    </row>
    <row r="68" spans="1:10" ht="12.75" outlineLevel="1">
      <c r="A68" s="307">
        <v>46295</v>
      </c>
      <c r="B68" s="282">
        <f>A68-A67</f>
        <v>92</v>
      </c>
      <c r="C68" s="282">
        <f>C67-D68</f>
        <v>25750000</v>
      </c>
      <c r="D68" s="282">
        <v>250000</v>
      </c>
      <c r="E68" s="308">
        <f>$E$11+$E$12</f>
        <v>0.0585</v>
      </c>
      <c r="F68" s="285">
        <f>B68*C67*E68/I68</f>
        <v>383375.34246575343</v>
      </c>
      <c r="G68" s="282"/>
      <c r="H68" s="286"/>
      <c r="I68" s="256">
        <v>365</v>
      </c>
      <c r="J68" s="256"/>
    </row>
    <row r="69" spans="1:10" ht="12.75" outlineLevel="1">
      <c r="A69" s="307">
        <v>46387</v>
      </c>
      <c r="B69" s="282">
        <f>A69-A68</f>
        <v>92</v>
      </c>
      <c r="C69" s="282">
        <f>C68-D69</f>
        <v>25500000</v>
      </c>
      <c r="D69" s="282">
        <v>250000</v>
      </c>
      <c r="E69" s="308">
        <f>$E$11+$E$12</f>
        <v>0.0585</v>
      </c>
      <c r="F69" s="285">
        <f>B69*C68*E69/I69</f>
        <v>379689.0410958904</v>
      </c>
      <c r="G69" s="282"/>
      <c r="H69" s="286"/>
      <c r="I69" s="256">
        <v>365</v>
      </c>
      <c r="J69" s="256"/>
    </row>
    <row r="70" spans="1:10" ht="12.75" outlineLevel="1">
      <c r="A70" s="309"/>
      <c r="B70" s="288"/>
      <c r="C70" s="288">
        <f>C69</f>
        <v>25500000</v>
      </c>
      <c r="D70" s="288">
        <f>SUM(D66:D69)</f>
        <v>1000000</v>
      </c>
      <c r="E70" s="289"/>
      <c r="F70" s="274">
        <f>SUM(F66:F69)</f>
        <v>1528172.2602739725</v>
      </c>
      <c r="G70" s="288"/>
      <c r="H70" s="290"/>
      <c r="I70" s="256"/>
      <c r="J70" s="256"/>
    </row>
    <row r="71" spans="1:10" ht="12.75" outlineLevel="1">
      <c r="A71" s="291"/>
      <c r="B71" s="282"/>
      <c r="C71" s="282"/>
      <c r="D71" s="282"/>
      <c r="E71" s="284"/>
      <c r="F71" s="285"/>
      <c r="G71" s="282"/>
      <c r="H71" s="282"/>
      <c r="I71" s="256"/>
      <c r="J71" s="256"/>
    </row>
    <row r="72" spans="1:10" ht="12.75" outlineLevel="1">
      <c r="A72" s="864" t="s">
        <v>113</v>
      </c>
      <c r="B72" s="864"/>
      <c r="C72" s="864"/>
      <c r="D72" s="864"/>
      <c r="E72" s="864"/>
      <c r="F72" s="864"/>
      <c r="G72" s="864"/>
      <c r="H72" s="864"/>
      <c r="I72" s="256"/>
      <c r="J72" s="256"/>
    </row>
    <row r="73" spans="1:10" ht="12.75" outlineLevel="1">
      <c r="A73" s="271"/>
      <c r="B73" s="272"/>
      <c r="C73" s="272"/>
      <c r="D73" s="272"/>
      <c r="E73" s="273"/>
      <c r="F73" s="274"/>
      <c r="G73" s="272"/>
      <c r="H73" s="275"/>
      <c r="I73" s="256"/>
      <c r="J73" s="256"/>
    </row>
    <row r="74" spans="1:10" ht="22.5" outlineLevel="1">
      <c r="A74" s="276" t="s">
        <v>114</v>
      </c>
      <c r="B74" s="277" t="s">
        <v>115</v>
      </c>
      <c r="C74" s="277" t="s">
        <v>116</v>
      </c>
      <c r="D74" s="277" t="s">
        <v>117</v>
      </c>
      <c r="E74" s="278" t="s">
        <v>118</v>
      </c>
      <c r="F74" s="279" t="s">
        <v>48</v>
      </c>
      <c r="G74" s="277"/>
      <c r="H74" s="280"/>
      <c r="I74" s="256"/>
      <c r="J74" s="256"/>
    </row>
    <row r="75" spans="1:10" ht="12.75" outlineLevel="1">
      <c r="A75" s="281" t="s">
        <v>126</v>
      </c>
      <c r="B75" s="282"/>
      <c r="C75" s="282">
        <f>C70</f>
        <v>25500000</v>
      </c>
      <c r="D75" s="282"/>
      <c r="E75" s="284"/>
      <c r="F75" s="285"/>
      <c r="G75" s="282"/>
      <c r="H75" s="286"/>
      <c r="I75" s="256"/>
      <c r="J75" s="256"/>
    </row>
    <row r="76" spans="1:10" ht="12.75" outlineLevel="1">
      <c r="A76" s="307">
        <v>46477</v>
      </c>
      <c r="B76" s="282">
        <f>A76-A69</f>
        <v>90</v>
      </c>
      <c r="C76" s="282">
        <f>C75-D76</f>
        <v>25125000</v>
      </c>
      <c r="D76" s="282">
        <f>250000+125000</f>
        <v>375000</v>
      </c>
      <c r="E76" s="308">
        <f>$E$11+$E$12</f>
        <v>0.0585</v>
      </c>
      <c r="F76" s="285">
        <f>B76*C75*E76/I76</f>
        <v>367828.76712328766</v>
      </c>
      <c r="G76" s="282"/>
      <c r="H76" s="286"/>
      <c r="I76" s="256">
        <v>365</v>
      </c>
      <c r="J76" s="256"/>
    </row>
    <row r="77" spans="1:10" ht="12.75" outlineLevel="1">
      <c r="A77" s="307">
        <v>46568</v>
      </c>
      <c r="B77" s="282">
        <f>A77-A76</f>
        <v>91</v>
      </c>
      <c r="C77" s="282">
        <f>C76-D77</f>
        <v>24750000</v>
      </c>
      <c r="D77" s="282">
        <f>250000+125000</f>
        <v>375000</v>
      </c>
      <c r="E77" s="308">
        <f>$E$11+$E$12</f>
        <v>0.0585</v>
      </c>
      <c r="F77" s="285">
        <f>B77*C76*E77/I77</f>
        <v>366446.40410958906</v>
      </c>
      <c r="G77" s="282"/>
      <c r="H77" s="286"/>
      <c r="I77" s="256">
        <v>365</v>
      </c>
      <c r="J77" s="256"/>
    </row>
    <row r="78" spans="1:10" ht="12.75" outlineLevel="1">
      <c r="A78" s="307">
        <v>46660</v>
      </c>
      <c r="B78" s="282">
        <f>A78-A77</f>
        <v>92</v>
      </c>
      <c r="C78" s="282">
        <f>C77-D78</f>
        <v>24375000</v>
      </c>
      <c r="D78" s="282">
        <f>250000+125000</f>
        <v>375000</v>
      </c>
      <c r="E78" s="308">
        <f>$E$11+$E$12</f>
        <v>0.0585</v>
      </c>
      <c r="F78" s="285">
        <f>B78*C77*E78/I78</f>
        <v>364943.8356164384</v>
      </c>
      <c r="G78" s="282"/>
      <c r="H78" s="286"/>
      <c r="I78" s="256">
        <v>365</v>
      </c>
      <c r="J78" s="256"/>
    </row>
    <row r="79" spans="1:10" ht="12.75" outlineLevel="1">
      <c r="A79" s="307">
        <v>46752</v>
      </c>
      <c r="B79" s="282">
        <f>A79-A78</f>
        <v>92</v>
      </c>
      <c r="C79" s="282">
        <f>C78-D79</f>
        <v>24000000</v>
      </c>
      <c r="D79" s="282">
        <f>250000+125000</f>
        <v>375000</v>
      </c>
      <c r="E79" s="308">
        <f>$E$11+$E$12</f>
        <v>0.0585</v>
      </c>
      <c r="F79" s="285">
        <f>B79*C78*E79/I79</f>
        <v>359414.3835616439</v>
      </c>
      <c r="G79" s="282"/>
      <c r="H79" s="286"/>
      <c r="I79" s="256">
        <v>365</v>
      </c>
      <c r="J79" s="256"/>
    </row>
    <row r="80" spans="1:10" ht="12.75" outlineLevel="1">
      <c r="A80" s="309"/>
      <c r="B80" s="288"/>
      <c r="C80" s="288">
        <f>C79</f>
        <v>24000000</v>
      </c>
      <c r="D80" s="288">
        <f>SUM(D76:D79)</f>
        <v>1500000</v>
      </c>
      <c r="E80" s="289"/>
      <c r="F80" s="274">
        <f>SUM(F76:F79)</f>
        <v>1458633.3904109588</v>
      </c>
      <c r="G80" s="288"/>
      <c r="H80" s="290"/>
      <c r="I80" s="256"/>
      <c r="J80" s="256"/>
    </row>
    <row r="81" spans="1:10" ht="12.75" outlineLevel="1">
      <c r="A81" s="291"/>
      <c r="B81" s="282"/>
      <c r="C81" s="282"/>
      <c r="D81" s="282"/>
      <c r="E81" s="284"/>
      <c r="F81" s="285"/>
      <c r="G81" s="282"/>
      <c r="H81" s="282"/>
      <c r="I81" s="256"/>
      <c r="J81" s="256"/>
    </row>
    <row r="82" spans="1:10" ht="12.75" outlineLevel="1">
      <c r="A82" s="864" t="s">
        <v>113</v>
      </c>
      <c r="B82" s="864"/>
      <c r="C82" s="864"/>
      <c r="D82" s="864"/>
      <c r="E82" s="864"/>
      <c r="F82" s="864"/>
      <c r="G82" s="864"/>
      <c r="H82" s="864"/>
      <c r="I82" s="256"/>
      <c r="J82" s="256"/>
    </row>
    <row r="83" spans="1:10" ht="12.75" outlineLevel="1">
      <c r="A83" s="271"/>
      <c r="B83" s="272"/>
      <c r="C83" s="272"/>
      <c r="D83" s="272"/>
      <c r="E83" s="273"/>
      <c r="F83" s="274"/>
      <c r="G83" s="272"/>
      <c r="H83" s="275"/>
      <c r="I83" s="256"/>
      <c r="J83" s="256"/>
    </row>
    <row r="84" spans="1:10" ht="22.5" outlineLevel="1">
      <c r="A84" s="276" t="s">
        <v>114</v>
      </c>
      <c r="B84" s="277" t="s">
        <v>115</v>
      </c>
      <c r="C84" s="277" t="s">
        <v>116</v>
      </c>
      <c r="D84" s="277" t="s">
        <v>117</v>
      </c>
      <c r="E84" s="278" t="s">
        <v>118</v>
      </c>
      <c r="F84" s="279" t="s">
        <v>48</v>
      </c>
      <c r="G84" s="277"/>
      <c r="H84" s="280"/>
      <c r="I84" s="256"/>
      <c r="J84" s="256"/>
    </row>
    <row r="85" spans="1:10" ht="12.75" outlineLevel="1">
      <c r="A85" s="281" t="s">
        <v>127</v>
      </c>
      <c r="B85" s="282"/>
      <c r="C85" s="282">
        <f>C80</f>
        <v>24000000</v>
      </c>
      <c r="D85" s="282"/>
      <c r="E85" s="284"/>
      <c r="F85" s="285"/>
      <c r="G85" s="282"/>
      <c r="H85" s="286"/>
      <c r="I85" s="256"/>
      <c r="J85" s="256"/>
    </row>
    <row r="86" spans="1:10" ht="12.75" outlineLevel="1">
      <c r="A86" s="307">
        <v>46843</v>
      </c>
      <c r="B86" s="282">
        <f>A86-A79</f>
        <v>91</v>
      </c>
      <c r="C86" s="282">
        <f>C85-D86</f>
        <v>23625000</v>
      </c>
      <c r="D86" s="282">
        <f>250000+125000</f>
        <v>375000</v>
      </c>
      <c r="E86" s="308">
        <f>$E$11+$E$12</f>
        <v>0.0585</v>
      </c>
      <c r="F86" s="285">
        <f>B86*C85*E86/I86</f>
        <v>349081.9672131148</v>
      </c>
      <c r="G86" s="282"/>
      <c r="H86" s="286"/>
      <c r="I86" s="256">
        <v>366</v>
      </c>
      <c r="J86" s="256"/>
    </row>
    <row r="87" spans="1:10" ht="12.75" outlineLevel="1">
      <c r="A87" s="307">
        <v>46934</v>
      </c>
      <c r="B87" s="282">
        <f>A87-A86</f>
        <v>91</v>
      </c>
      <c r="C87" s="282">
        <f>C86-D87</f>
        <v>23250000</v>
      </c>
      <c r="D87" s="282">
        <f>250000+125000</f>
        <v>375000</v>
      </c>
      <c r="E87" s="308">
        <f>$E$11+$E$12</f>
        <v>0.0585</v>
      </c>
      <c r="F87" s="285">
        <f>B87*C86*E87/I87</f>
        <v>343627.56147540984</v>
      </c>
      <c r="G87" s="282"/>
      <c r="H87" s="286"/>
      <c r="I87" s="256">
        <v>366</v>
      </c>
      <c r="J87" s="256"/>
    </row>
    <row r="88" spans="1:10" ht="12.75" outlineLevel="1">
      <c r="A88" s="307">
        <v>47026</v>
      </c>
      <c r="B88" s="282">
        <f>A88-A87</f>
        <v>92</v>
      </c>
      <c r="C88" s="282">
        <f>C87-D88</f>
        <v>22875000</v>
      </c>
      <c r="D88" s="282">
        <f>250000+125000</f>
        <v>375000</v>
      </c>
      <c r="E88" s="308">
        <f>$E$11+$E$12</f>
        <v>0.0585</v>
      </c>
      <c r="F88" s="285">
        <f>B88*C87*E88/I88</f>
        <v>341889.34426229505</v>
      </c>
      <c r="G88" s="282"/>
      <c r="H88" s="286"/>
      <c r="I88" s="256">
        <v>366</v>
      </c>
      <c r="J88" s="256"/>
    </row>
    <row r="89" spans="1:10" ht="12.75" outlineLevel="1">
      <c r="A89" s="307">
        <v>47118</v>
      </c>
      <c r="B89" s="282">
        <f>A89-A88</f>
        <v>92</v>
      </c>
      <c r="C89" s="282">
        <f>C88-D89</f>
        <v>22500000</v>
      </c>
      <c r="D89" s="282">
        <f>250000+125000</f>
        <v>375000</v>
      </c>
      <c r="E89" s="308">
        <f>$E$11+$E$12</f>
        <v>0.0585</v>
      </c>
      <c r="F89" s="285">
        <f>B89*C88*E89/I89</f>
        <v>336375</v>
      </c>
      <c r="G89" s="282"/>
      <c r="H89" s="286"/>
      <c r="I89" s="256">
        <v>366</v>
      </c>
      <c r="J89" s="256"/>
    </row>
    <row r="90" spans="1:10" ht="12.75" outlineLevel="1">
      <c r="A90" s="309"/>
      <c r="B90" s="288"/>
      <c r="C90" s="288">
        <f>C89</f>
        <v>22500000</v>
      </c>
      <c r="D90" s="288">
        <f>SUM(D86:D89)</f>
        <v>1500000</v>
      </c>
      <c r="E90" s="289"/>
      <c r="F90" s="274">
        <f>SUM(F86:F89)</f>
        <v>1370973.8729508198</v>
      </c>
      <c r="G90" s="288"/>
      <c r="H90" s="290"/>
      <c r="I90" s="256"/>
      <c r="J90" s="256"/>
    </row>
    <row r="91" spans="1:10" ht="12.75" outlineLevel="1">
      <c r="A91" s="291"/>
      <c r="B91" s="282"/>
      <c r="C91" s="282"/>
      <c r="D91" s="282"/>
      <c r="E91" s="284"/>
      <c r="F91" s="285"/>
      <c r="G91" s="282"/>
      <c r="H91" s="282"/>
      <c r="I91" s="256"/>
      <c r="J91" s="256"/>
    </row>
    <row r="92" spans="1:10" ht="12.75" outlineLevel="1">
      <c r="A92" s="864" t="s">
        <v>113</v>
      </c>
      <c r="B92" s="864"/>
      <c r="C92" s="864"/>
      <c r="D92" s="864"/>
      <c r="E92" s="864"/>
      <c r="F92" s="864"/>
      <c r="G92" s="864"/>
      <c r="H92" s="864"/>
      <c r="I92" s="256"/>
      <c r="J92" s="256"/>
    </row>
    <row r="93" spans="1:10" ht="12.75" outlineLevel="1">
      <c r="A93" s="271"/>
      <c r="B93" s="272"/>
      <c r="C93" s="272"/>
      <c r="D93" s="272"/>
      <c r="E93" s="273"/>
      <c r="F93" s="274"/>
      <c r="G93" s="272"/>
      <c r="H93" s="275"/>
      <c r="I93" s="256"/>
      <c r="J93" s="256"/>
    </row>
    <row r="94" spans="1:10" ht="22.5" outlineLevel="1">
      <c r="A94" s="276" t="s">
        <v>114</v>
      </c>
      <c r="B94" s="277" t="s">
        <v>115</v>
      </c>
      <c r="C94" s="277" t="s">
        <v>116</v>
      </c>
      <c r="D94" s="277" t="s">
        <v>117</v>
      </c>
      <c r="E94" s="278" t="s">
        <v>118</v>
      </c>
      <c r="F94" s="279" t="s">
        <v>48</v>
      </c>
      <c r="G94" s="277"/>
      <c r="H94" s="280"/>
      <c r="I94" s="256"/>
      <c r="J94" s="256"/>
    </row>
    <row r="95" spans="1:10" ht="12.75" outlineLevel="1">
      <c r="A95" s="281" t="s">
        <v>128</v>
      </c>
      <c r="B95" s="282"/>
      <c r="C95" s="282">
        <f>C90</f>
        <v>22500000</v>
      </c>
      <c r="D95" s="282"/>
      <c r="E95" s="284"/>
      <c r="F95" s="285"/>
      <c r="G95" s="282"/>
      <c r="H95" s="286"/>
      <c r="I95" s="256"/>
      <c r="J95" s="256"/>
    </row>
    <row r="96" spans="1:10" ht="12.75" outlineLevel="1">
      <c r="A96" s="307">
        <v>47208</v>
      </c>
      <c r="B96" s="282">
        <v>90</v>
      </c>
      <c r="C96" s="282">
        <f>C95-D96</f>
        <v>22125000</v>
      </c>
      <c r="D96" s="282">
        <f>250000+125000</f>
        <v>375000</v>
      </c>
      <c r="E96" s="308">
        <f>$E$11+$E$12</f>
        <v>0.0585</v>
      </c>
      <c r="F96" s="285">
        <f>B96*C95*E96/I96</f>
        <v>324554.79452054796</v>
      </c>
      <c r="G96" s="282"/>
      <c r="H96" s="286"/>
      <c r="I96" s="256">
        <v>365</v>
      </c>
      <c r="J96" s="256"/>
    </row>
    <row r="97" spans="1:10" ht="12.75" outlineLevel="1">
      <c r="A97" s="307">
        <v>47299</v>
      </c>
      <c r="B97" s="282">
        <f>A97-A96</f>
        <v>91</v>
      </c>
      <c r="C97" s="282">
        <f>C96-D97</f>
        <v>21750000</v>
      </c>
      <c r="D97" s="282">
        <f>250000+125000</f>
        <v>375000</v>
      </c>
      <c r="E97" s="308">
        <f>$E$11+$E$12</f>
        <v>0.0585</v>
      </c>
      <c r="F97" s="285">
        <f>B97*C96*E97/I97</f>
        <v>322691.6095890411</v>
      </c>
      <c r="G97" s="282"/>
      <c r="H97" s="286"/>
      <c r="I97" s="256">
        <v>365</v>
      </c>
      <c r="J97" s="256"/>
    </row>
    <row r="98" spans="1:10" ht="12.75" outlineLevel="1">
      <c r="A98" s="307">
        <v>47391</v>
      </c>
      <c r="B98" s="282">
        <f>A98-A97</f>
        <v>92</v>
      </c>
      <c r="C98" s="282">
        <f>C97-D98</f>
        <v>21375000</v>
      </c>
      <c r="D98" s="282">
        <f>250000+125000</f>
        <v>375000</v>
      </c>
      <c r="E98" s="308">
        <f>$E$11+$E$12</f>
        <v>0.0585</v>
      </c>
      <c r="F98" s="285">
        <f>B98*C97*E98/I98</f>
        <v>320708.2191780822</v>
      </c>
      <c r="G98" s="282"/>
      <c r="H98" s="286"/>
      <c r="I98" s="256">
        <v>365</v>
      </c>
      <c r="J98" s="256"/>
    </row>
    <row r="99" spans="1:10" ht="12.75" outlineLevel="1">
      <c r="A99" s="307">
        <v>47483</v>
      </c>
      <c r="B99" s="282">
        <f>A99-A98</f>
        <v>92</v>
      </c>
      <c r="C99" s="282">
        <f>C98-D99</f>
        <v>21000000</v>
      </c>
      <c r="D99" s="282">
        <f>250000+125000</f>
        <v>375000</v>
      </c>
      <c r="E99" s="308">
        <f>$E$11+$E$12</f>
        <v>0.0585</v>
      </c>
      <c r="F99" s="285">
        <f>B99*C98*E99/I99</f>
        <v>315178.76712328766</v>
      </c>
      <c r="G99" s="282"/>
      <c r="H99" s="286"/>
      <c r="I99" s="256">
        <v>365</v>
      </c>
      <c r="J99" s="256"/>
    </row>
    <row r="100" spans="1:10" ht="12.75" outlineLevel="1">
      <c r="A100" s="309"/>
      <c r="B100" s="288"/>
      <c r="C100" s="288">
        <f>C99</f>
        <v>21000000</v>
      </c>
      <c r="D100" s="288">
        <f>SUM(D96:D99)</f>
        <v>1500000</v>
      </c>
      <c r="E100" s="289"/>
      <c r="F100" s="274">
        <f>SUM(F96:F99)</f>
        <v>1283133.3904109588</v>
      </c>
      <c r="G100" s="288"/>
      <c r="H100" s="290"/>
      <c r="I100" s="256"/>
      <c r="J100" s="256"/>
    </row>
    <row r="101" spans="1:10" ht="12.75" outlineLevel="1">
      <c r="A101" s="291"/>
      <c r="B101" s="282"/>
      <c r="C101" s="282"/>
      <c r="D101" s="282"/>
      <c r="E101" s="284"/>
      <c r="F101" s="285"/>
      <c r="G101" s="282"/>
      <c r="H101" s="282"/>
      <c r="I101" s="256"/>
      <c r="J101" s="256"/>
    </row>
    <row r="102" spans="1:10" ht="12.75" outlineLevel="1">
      <c r="A102" s="864" t="s">
        <v>113</v>
      </c>
      <c r="B102" s="864"/>
      <c r="C102" s="864"/>
      <c r="D102" s="864"/>
      <c r="E102" s="864"/>
      <c r="F102" s="864"/>
      <c r="G102" s="864"/>
      <c r="H102" s="864"/>
      <c r="I102" s="256"/>
      <c r="J102" s="256"/>
    </row>
    <row r="103" spans="1:10" ht="12.75" outlineLevel="1">
      <c r="A103" s="271"/>
      <c r="B103" s="272"/>
      <c r="C103" s="272"/>
      <c r="D103" s="272"/>
      <c r="E103" s="273"/>
      <c r="F103" s="274"/>
      <c r="G103" s="272"/>
      <c r="H103" s="275"/>
      <c r="I103" s="256"/>
      <c r="J103" s="256"/>
    </row>
    <row r="104" spans="1:10" ht="22.5" outlineLevel="1">
      <c r="A104" s="276" t="s">
        <v>114</v>
      </c>
      <c r="B104" s="277" t="s">
        <v>115</v>
      </c>
      <c r="C104" s="277" t="s">
        <v>116</v>
      </c>
      <c r="D104" s="277" t="s">
        <v>117</v>
      </c>
      <c r="E104" s="278" t="s">
        <v>118</v>
      </c>
      <c r="F104" s="279" t="s">
        <v>48</v>
      </c>
      <c r="G104" s="277"/>
      <c r="H104" s="280"/>
      <c r="I104" s="256"/>
      <c r="J104" s="256"/>
    </row>
    <row r="105" spans="1:10" ht="12.75" outlineLevel="1">
      <c r="A105" s="281" t="s">
        <v>208</v>
      </c>
      <c r="B105" s="282"/>
      <c r="C105" s="282">
        <f>C100</f>
        <v>21000000</v>
      </c>
      <c r="D105" s="282"/>
      <c r="E105" s="284"/>
      <c r="F105" s="285"/>
      <c r="G105" s="282"/>
      <c r="H105" s="286"/>
      <c r="I105" s="256"/>
      <c r="J105" s="256"/>
    </row>
    <row r="106" spans="1:10" ht="12.75" outlineLevel="1">
      <c r="A106" s="307">
        <v>47573</v>
      </c>
      <c r="B106" s="282">
        <f>A106-A99</f>
        <v>90</v>
      </c>
      <c r="C106" s="282">
        <f>C105-D106</f>
        <v>20625000</v>
      </c>
      <c r="D106" s="282">
        <f>250000+125000</f>
        <v>375000</v>
      </c>
      <c r="E106" s="308">
        <f>$E$11+$E$12</f>
        <v>0.0585</v>
      </c>
      <c r="F106" s="285">
        <f>B106*C105*E106/I106</f>
        <v>302917.80821917806</v>
      </c>
      <c r="G106" s="282"/>
      <c r="H106" s="286"/>
      <c r="I106" s="256">
        <v>365</v>
      </c>
      <c r="J106" s="256"/>
    </row>
    <row r="107" spans="1:10" ht="12.75" outlineLevel="1">
      <c r="A107" s="307">
        <v>47664</v>
      </c>
      <c r="B107" s="282">
        <f>A107-A106</f>
        <v>91</v>
      </c>
      <c r="C107" s="282">
        <f>C106-D107</f>
        <v>20250000</v>
      </c>
      <c r="D107" s="282">
        <f>250000+125000</f>
        <v>375000</v>
      </c>
      <c r="E107" s="308">
        <f>$E$11+$E$12</f>
        <v>0.0585</v>
      </c>
      <c r="F107" s="285">
        <f>B107*C106*E107/I107</f>
        <v>300814.2123287671</v>
      </c>
      <c r="G107" s="282"/>
      <c r="H107" s="286"/>
      <c r="I107" s="256">
        <v>365</v>
      </c>
      <c r="J107" s="256"/>
    </row>
    <row r="108" spans="1:10" ht="12.75" outlineLevel="1">
      <c r="A108" s="307">
        <v>47756</v>
      </c>
      <c r="B108" s="282">
        <f>A108-A107</f>
        <v>92</v>
      </c>
      <c r="C108" s="282">
        <f>C107-D108</f>
        <v>19875000</v>
      </c>
      <c r="D108" s="282">
        <f>250000+125000</f>
        <v>375000</v>
      </c>
      <c r="E108" s="308">
        <f>$E$11+$E$12</f>
        <v>0.0585</v>
      </c>
      <c r="F108" s="285">
        <f>B108*C107*E108/I108</f>
        <v>298590.41095890413</v>
      </c>
      <c r="G108" s="282"/>
      <c r="H108" s="286"/>
      <c r="I108" s="256">
        <v>365</v>
      </c>
      <c r="J108" s="256"/>
    </row>
    <row r="109" spans="1:10" ht="12.75" outlineLevel="1">
      <c r="A109" s="307">
        <v>47848</v>
      </c>
      <c r="B109" s="282">
        <f>A109-A108</f>
        <v>92</v>
      </c>
      <c r="C109" s="282">
        <f>C108-D109</f>
        <v>19500000</v>
      </c>
      <c r="D109" s="282">
        <f>250000+125000</f>
        <v>375000</v>
      </c>
      <c r="E109" s="308">
        <f>$E$11+$E$12</f>
        <v>0.0585</v>
      </c>
      <c r="F109" s="285">
        <f>B109*C108*E109/I109</f>
        <v>293060.9589041096</v>
      </c>
      <c r="G109" s="282"/>
      <c r="H109" s="286"/>
      <c r="I109" s="256">
        <v>365</v>
      </c>
      <c r="J109" s="256"/>
    </row>
    <row r="110" spans="1:10" ht="12.75" outlineLevel="1">
      <c r="A110" s="309"/>
      <c r="B110" s="288"/>
      <c r="C110" s="288">
        <f>C109</f>
        <v>19500000</v>
      </c>
      <c r="D110" s="288">
        <f>SUM(D106:D109)</f>
        <v>1500000</v>
      </c>
      <c r="E110" s="289"/>
      <c r="F110" s="274">
        <f>SUM(F106:F109)</f>
        <v>1195383.390410959</v>
      </c>
      <c r="G110" s="288"/>
      <c r="H110" s="290"/>
      <c r="I110" s="256"/>
      <c r="J110" s="256"/>
    </row>
    <row r="111" spans="1:10" ht="12.75" outlineLevel="1">
      <c r="A111" s="291"/>
      <c r="B111" s="282"/>
      <c r="C111" s="282"/>
      <c r="D111" s="282"/>
      <c r="E111" s="284"/>
      <c r="F111" s="285"/>
      <c r="G111" s="282"/>
      <c r="H111" s="282"/>
      <c r="I111" s="256"/>
      <c r="J111" s="256"/>
    </row>
    <row r="112" spans="1:10" ht="12.75" outlineLevel="1">
      <c r="A112" s="864" t="s">
        <v>113</v>
      </c>
      <c r="B112" s="864"/>
      <c r="C112" s="864"/>
      <c r="D112" s="864"/>
      <c r="E112" s="864"/>
      <c r="F112" s="864"/>
      <c r="G112" s="864"/>
      <c r="H112" s="864"/>
      <c r="I112" s="256"/>
      <c r="J112" s="256"/>
    </row>
    <row r="113" spans="1:10" ht="12.75" outlineLevel="1">
      <c r="A113" s="271"/>
      <c r="B113" s="272"/>
      <c r="C113" s="272"/>
      <c r="D113" s="272"/>
      <c r="E113" s="273"/>
      <c r="F113" s="274"/>
      <c r="G113" s="272"/>
      <c r="H113" s="275"/>
      <c r="I113" s="256"/>
      <c r="J113" s="256"/>
    </row>
    <row r="114" spans="1:10" ht="22.5" outlineLevel="1">
      <c r="A114" s="276" t="s">
        <v>114</v>
      </c>
      <c r="B114" s="277" t="s">
        <v>115</v>
      </c>
      <c r="C114" s="277" t="s">
        <v>116</v>
      </c>
      <c r="D114" s="277" t="s">
        <v>117</v>
      </c>
      <c r="E114" s="278" t="s">
        <v>118</v>
      </c>
      <c r="F114" s="279" t="s">
        <v>48</v>
      </c>
      <c r="G114" s="277"/>
      <c r="H114" s="280"/>
      <c r="I114" s="256"/>
      <c r="J114" s="256"/>
    </row>
    <row r="115" spans="1:10" ht="12.75" outlineLevel="1">
      <c r="A115" s="281" t="s">
        <v>130</v>
      </c>
      <c r="B115" s="282"/>
      <c r="C115" s="282">
        <f>C110</f>
        <v>19500000</v>
      </c>
      <c r="D115" s="282"/>
      <c r="E115" s="284"/>
      <c r="F115" s="285"/>
      <c r="G115" s="282"/>
      <c r="H115" s="286"/>
      <c r="I115" s="256"/>
      <c r="J115" s="256"/>
    </row>
    <row r="116" spans="1:10" ht="12.75" outlineLevel="1">
      <c r="A116" s="307">
        <v>47938</v>
      </c>
      <c r="B116" s="282">
        <f>A116-A109</f>
        <v>90</v>
      </c>
      <c r="C116" s="282">
        <f>C115-D116</f>
        <v>19125000</v>
      </c>
      <c r="D116" s="282">
        <f>250000+125000</f>
        <v>375000</v>
      </c>
      <c r="E116" s="308">
        <f>$E$11+$E$12</f>
        <v>0.0585</v>
      </c>
      <c r="F116" s="285">
        <f>B116*C115*E116/I116</f>
        <v>281280.8219178082</v>
      </c>
      <c r="G116" s="282"/>
      <c r="H116" s="286"/>
      <c r="I116" s="256">
        <v>365</v>
      </c>
      <c r="J116" s="256"/>
    </row>
    <row r="117" spans="1:10" ht="12.75" outlineLevel="1">
      <c r="A117" s="307">
        <v>48029</v>
      </c>
      <c r="B117" s="282">
        <f>A117-A116</f>
        <v>91</v>
      </c>
      <c r="C117" s="282">
        <f>C116-D117</f>
        <v>18750000</v>
      </c>
      <c r="D117" s="282">
        <f>250000+125000</f>
        <v>375000</v>
      </c>
      <c r="E117" s="308">
        <f>$E$11+$E$12</f>
        <v>0.0585</v>
      </c>
      <c r="F117" s="285">
        <f>B117*C116*E117/I117</f>
        <v>278936.81506849313</v>
      </c>
      <c r="G117" s="282"/>
      <c r="H117" s="286"/>
      <c r="I117" s="256">
        <v>365</v>
      </c>
      <c r="J117" s="256"/>
    </row>
    <row r="118" spans="1:10" ht="12.75" outlineLevel="1">
      <c r="A118" s="307">
        <v>48121</v>
      </c>
      <c r="B118" s="282">
        <f>A118-A117</f>
        <v>92</v>
      </c>
      <c r="C118" s="282">
        <f>C117-D118</f>
        <v>18375000</v>
      </c>
      <c r="D118" s="282">
        <f>250000+125000</f>
        <v>375000</v>
      </c>
      <c r="E118" s="308">
        <f>$E$11+$E$12</f>
        <v>0.0585</v>
      </c>
      <c r="F118" s="285">
        <f>B118*C117*E118/I118</f>
        <v>276472.602739726</v>
      </c>
      <c r="G118" s="282"/>
      <c r="H118" s="286"/>
      <c r="I118" s="256">
        <v>365</v>
      </c>
      <c r="J118" s="256"/>
    </row>
    <row r="119" spans="1:10" ht="12.75" outlineLevel="1">
      <c r="A119" s="307">
        <v>48213</v>
      </c>
      <c r="B119" s="282">
        <f>A119-A118</f>
        <v>92</v>
      </c>
      <c r="C119" s="282">
        <f>C118-D119</f>
        <v>18000000</v>
      </c>
      <c r="D119" s="282">
        <f>250000+125000</f>
        <v>375000</v>
      </c>
      <c r="E119" s="308">
        <f>$E$11+$E$12</f>
        <v>0.0585</v>
      </c>
      <c r="F119" s="285">
        <f>B119*C118*E119/I119</f>
        <v>270943.1506849315</v>
      </c>
      <c r="G119" s="282"/>
      <c r="H119" s="286"/>
      <c r="I119" s="256">
        <v>365</v>
      </c>
      <c r="J119" s="256"/>
    </row>
    <row r="120" spans="1:10" ht="12.75" outlineLevel="1">
      <c r="A120" s="309"/>
      <c r="B120" s="288"/>
      <c r="C120" s="288">
        <f>C119</f>
        <v>18000000</v>
      </c>
      <c r="D120" s="288">
        <f>SUM(D116:D119)</f>
        <v>1500000</v>
      </c>
      <c r="E120" s="289"/>
      <c r="F120" s="274">
        <f>SUM(F116:F119)</f>
        <v>1107633.3904109588</v>
      </c>
      <c r="G120" s="288"/>
      <c r="H120" s="290"/>
      <c r="I120" s="256"/>
      <c r="J120" s="256"/>
    </row>
    <row r="121" spans="1:10" ht="12.75" outlineLevel="1">
      <c r="A121" s="256"/>
      <c r="B121" s="255"/>
      <c r="C121" s="255"/>
      <c r="D121" s="255"/>
      <c r="E121" s="257"/>
      <c r="F121" s="258"/>
      <c r="G121" s="255"/>
      <c r="H121" s="255"/>
      <c r="I121" s="256"/>
      <c r="J121" s="256"/>
    </row>
    <row r="122" spans="1:10" ht="12.75" outlineLevel="1">
      <c r="A122" s="864" t="s">
        <v>113</v>
      </c>
      <c r="B122" s="864"/>
      <c r="C122" s="864"/>
      <c r="D122" s="864"/>
      <c r="E122" s="864"/>
      <c r="F122" s="864"/>
      <c r="G122" s="864"/>
      <c r="H122" s="864"/>
      <c r="I122" s="256"/>
      <c r="J122" s="256"/>
    </row>
    <row r="123" spans="1:10" ht="12.75" outlineLevel="1">
      <c r="A123" s="271"/>
      <c r="B123" s="272"/>
      <c r="C123" s="272"/>
      <c r="D123" s="272"/>
      <c r="E123" s="273"/>
      <c r="F123" s="274"/>
      <c r="G123" s="272"/>
      <c r="H123" s="275"/>
      <c r="I123" s="256"/>
      <c r="J123" s="256"/>
    </row>
    <row r="124" spans="1:10" ht="22.5" outlineLevel="1">
      <c r="A124" s="276" t="s">
        <v>114</v>
      </c>
      <c r="B124" s="277" t="s">
        <v>115</v>
      </c>
      <c r="C124" s="277" t="s">
        <v>116</v>
      </c>
      <c r="D124" s="277" t="s">
        <v>117</v>
      </c>
      <c r="E124" s="278" t="s">
        <v>118</v>
      </c>
      <c r="F124" s="279" t="s">
        <v>48</v>
      </c>
      <c r="G124" s="277"/>
      <c r="H124" s="280"/>
      <c r="I124" s="256"/>
      <c r="J124" s="256"/>
    </row>
    <row r="125" spans="1:10" ht="12.75" outlineLevel="1">
      <c r="A125" s="281" t="s">
        <v>131</v>
      </c>
      <c r="B125" s="282"/>
      <c r="C125" s="282">
        <f>C120</f>
        <v>18000000</v>
      </c>
      <c r="D125" s="282"/>
      <c r="E125" s="284"/>
      <c r="F125" s="285"/>
      <c r="G125" s="282"/>
      <c r="H125" s="286"/>
      <c r="I125" s="256"/>
      <c r="J125" s="256"/>
    </row>
    <row r="126" spans="1:10" ht="12.75" outlineLevel="1">
      <c r="A126" s="307">
        <v>48304</v>
      </c>
      <c r="B126" s="282">
        <f>A126-A119</f>
        <v>91</v>
      </c>
      <c r="C126" s="282">
        <f>C125-D126</f>
        <v>17750000</v>
      </c>
      <c r="D126" s="282">
        <v>250000</v>
      </c>
      <c r="E126" s="308">
        <f>$E$11+$E$12</f>
        <v>0.0585</v>
      </c>
      <c r="F126" s="285">
        <f>B126*C125*E126/I126</f>
        <v>261811.47540983607</v>
      </c>
      <c r="G126" s="282"/>
      <c r="H126" s="286"/>
      <c r="I126" s="256">
        <v>366</v>
      </c>
      <c r="J126" s="256"/>
    </row>
    <row r="127" spans="1:10" ht="12.75" outlineLevel="1">
      <c r="A127" s="307">
        <v>48395</v>
      </c>
      <c r="B127" s="282">
        <f>A127-A126</f>
        <v>91</v>
      </c>
      <c r="C127" s="282">
        <f>C126-D127</f>
        <v>17500000</v>
      </c>
      <c r="D127" s="282">
        <v>250000</v>
      </c>
      <c r="E127" s="308">
        <f>$E$11+$E$12</f>
        <v>0.0585</v>
      </c>
      <c r="F127" s="285">
        <f>B127*C126*E127/I127</f>
        <v>258175.20491803277</v>
      </c>
      <c r="G127" s="282"/>
      <c r="H127" s="286"/>
      <c r="I127" s="256">
        <v>366</v>
      </c>
      <c r="J127" s="256"/>
    </row>
    <row r="128" spans="1:10" ht="12.75" outlineLevel="1">
      <c r="A128" s="307">
        <v>48487</v>
      </c>
      <c r="B128" s="282">
        <f>A128-A127</f>
        <v>92</v>
      </c>
      <c r="C128" s="282">
        <f>C127-D128</f>
        <v>17250000</v>
      </c>
      <c r="D128" s="282">
        <v>250000</v>
      </c>
      <c r="E128" s="308">
        <f>$E$11+$E$12</f>
        <v>0.0585</v>
      </c>
      <c r="F128" s="285">
        <f>B128*C127*E128/I128</f>
        <v>257336.0655737705</v>
      </c>
      <c r="G128" s="282"/>
      <c r="H128" s="286"/>
      <c r="I128" s="256">
        <v>366</v>
      </c>
      <c r="J128" s="256"/>
    </row>
    <row r="129" spans="1:10" ht="12.75" outlineLevel="1">
      <c r="A129" s="307">
        <v>48579</v>
      </c>
      <c r="B129" s="282">
        <f>A129-A128</f>
        <v>92</v>
      </c>
      <c r="C129" s="282">
        <f>C128-D129</f>
        <v>17000000</v>
      </c>
      <c r="D129" s="282">
        <v>250000</v>
      </c>
      <c r="E129" s="308">
        <f>$E$11+$E$12</f>
        <v>0.0585</v>
      </c>
      <c r="F129" s="285">
        <f>B129*C128*E129/I129</f>
        <v>253659.83606557376</v>
      </c>
      <c r="G129" s="282"/>
      <c r="H129" s="286"/>
      <c r="I129" s="256">
        <v>366</v>
      </c>
      <c r="J129" s="256"/>
    </row>
    <row r="130" spans="1:10" ht="12.75" outlineLevel="1">
      <c r="A130" s="309"/>
      <c r="B130" s="288"/>
      <c r="C130" s="288">
        <f>C129</f>
        <v>17000000</v>
      </c>
      <c r="D130" s="288">
        <f>SUM(D126:D129)</f>
        <v>1000000</v>
      </c>
      <c r="E130" s="289"/>
      <c r="F130" s="274">
        <f>SUM(F126:F129)</f>
        <v>1030982.5819672131</v>
      </c>
      <c r="G130" s="288"/>
      <c r="H130" s="290"/>
      <c r="I130" s="256"/>
      <c r="J130" s="256"/>
    </row>
    <row r="131" spans="1:10" ht="12.75" outlineLevel="1">
      <c r="A131" s="310"/>
      <c r="B131" s="311"/>
      <c r="C131" s="311"/>
      <c r="D131" s="312"/>
      <c r="E131" s="312"/>
      <c r="F131" s="312"/>
      <c r="G131" s="311"/>
      <c r="H131" s="313"/>
      <c r="I131" s="256"/>
      <c r="J131" s="256"/>
    </row>
    <row r="132" spans="1:10" ht="12.75" outlineLevel="1">
      <c r="A132" s="864" t="s">
        <v>113</v>
      </c>
      <c r="B132" s="864"/>
      <c r="C132" s="864"/>
      <c r="D132" s="864"/>
      <c r="E132" s="864"/>
      <c r="F132" s="864"/>
      <c r="G132" s="864"/>
      <c r="H132" s="864"/>
      <c r="I132" s="256"/>
      <c r="J132" s="256"/>
    </row>
    <row r="133" spans="1:10" ht="12.75" outlineLevel="1">
      <c r="A133" s="271"/>
      <c r="B133" s="272"/>
      <c r="C133" s="272"/>
      <c r="D133" s="272"/>
      <c r="E133" s="273"/>
      <c r="F133" s="274"/>
      <c r="G133" s="272"/>
      <c r="H133" s="275"/>
      <c r="I133" s="256"/>
      <c r="J133" s="256"/>
    </row>
    <row r="134" spans="1:10" ht="22.5" outlineLevel="1">
      <c r="A134" s="276" t="s">
        <v>114</v>
      </c>
      <c r="B134" s="277" t="s">
        <v>115</v>
      </c>
      <c r="C134" s="277" t="s">
        <v>116</v>
      </c>
      <c r="D134" s="277" t="s">
        <v>117</v>
      </c>
      <c r="E134" s="278" t="s">
        <v>118</v>
      </c>
      <c r="F134" s="279" t="s">
        <v>48</v>
      </c>
      <c r="G134" s="277"/>
      <c r="H134" s="280"/>
      <c r="I134" s="256"/>
      <c r="J134" s="256"/>
    </row>
    <row r="135" spans="1:10" ht="12.75" outlineLevel="1">
      <c r="A135" s="281" t="s">
        <v>132</v>
      </c>
      <c r="B135" s="282"/>
      <c r="C135" s="282">
        <f>C130</f>
        <v>17000000</v>
      </c>
      <c r="D135" s="282"/>
      <c r="E135" s="284"/>
      <c r="F135" s="285"/>
      <c r="G135" s="282"/>
      <c r="H135" s="286"/>
      <c r="I135" s="256"/>
      <c r="J135" s="256"/>
    </row>
    <row r="136" spans="1:10" ht="12.75" outlineLevel="1">
      <c r="A136" s="307">
        <v>48669</v>
      </c>
      <c r="B136" s="282">
        <v>90</v>
      </c>
      <c r="C136" s="282">
        <f>C135-D136</f>
        <v>16750000</v>
      </c>
      <c r="D136" s="282">
        <v>250000</v>
      </c>
      <c r="E136" s="308">
        <f>$E$11+$E$12</f>
        <v>0.0585</v>
      </c>
      <c r="F136" s="285">
        <f>B136*C135*E136/I136</f>
        <v>245219.1780821918</v>
      </c>
      <c r="G136" s="282"/>
      <c r="H136" s="286"/>
      <c r="I136" s="256">
        <v>365</v>
      </c>
      <c r="J136" s="256"/>
    </row>
    <row r="137" spans="1:10" ht="12.75" outlineLevel="1">
      <c r="A137" s="307">
        <v>48760</v>
      </c>
      <c r="B137" s="282">
        <f>A137-A136</f>
        <v>91</v>
      </c>
      <c r="C137" s="282">
        <f>C136-D137</f>
        <v>16500000</v>
      </c>
      <c r="D137" s="282">
        <v>250000</v>
      </c>
      <c r="E137" s="308">
        <f>$E$11+$E$12</f>
        <v>0.0585</v>
      </c>
      <c r="F137" s="285">
        <f>B137*C136*E137/I137</f>
        <v>244297.60273972602</v>
      </c>
      <c r="G137" s="282"/>
      <c r="H137" s="286"/>
      <c r="I137" s="256">
        <v>365</v>
      </c>
      <c r="J137" s="256"/>
    </row>
    <row r="138" spans="1:10" ht="12.75" outlineLevel="1">
      <c r="A138" s="307">
        <v>48852</v>
      </c>
      <c r="B138" s="282">
        <f>A138-A137</f>
        <v>92</v>
      </c>
      <c r="C138" s="282">
        <f>C137-D138</f>
        <v>16250000</v>
      </c>
      <c r="D138" s="282">
        <v>250000</v>
      </c>
      <c r="E138" s="308">
        <f>$E$11+$E$12</f>
        <v>0.0585</v>
      </c>
      <c r="F138" s="285">
        <f>B138*C137*E138/I138</f>
        <v>243295.8904109589</v>
      </c>
      <c r="G138" s="282"/>
      <c r="H138" s="286"/>
      <c r="I138" s="256">
        <v>365</v>
      </c>
      <c r="J138" s="256"/>
    </row>
    <row r="139" spans="1:10" ht="12.75" outlineLevel="1">
      <c r="A139" s="307">
        <v>48944</v>
      </c>
      <c r="B139" s="282">
        <f>A139-A138</f>
        <v>92</v>
      </c>
      <c r="C139" s="282">
        <f>C138-D139</f>
        <v>16000000</v>
      </c>
      <c r="D139" s="282">
        <v>250000</v>
      </c>
      <c r="E139" s="308">
        <f>$E$11+$E$12</f>
        <v>0.0585</v>
      </c>
      <c r="F139" s="285">
        <f>B139*C138*E139/I139</f>
        <v>239609.5890410959</v>
      </c>
      <c r="G139" s="282"/>
      <c r="H139" s="286"/>
      <c r="I139" s="256">
        <v>365</v>
      </c>
      <c r="J139" s="256"/>
    </row>
    <row r="140" spans="1:10" ht="12.75" outlineLevel="1">
      <c r="A140" s="309"/>
      <c r="B140" s="288"/>
      <c r="C140" s="288">
        <f>C139</f>
        <v>16000000</v>
      </c>
      <c r="D140" s="288">
        <f>SUM(D136:D139)</f>
        <v>1000000</v>
      </c>
      <c r="E140" s="289"/>
      <c r="F140" s="274">
        <f>SUM(F136:F139)</f>
        <v>972422.2602739726</v>
      </c>
      <c r="G140" s="288"/>
      <c r="H140" s="290"/>
      <c r="I140" s="256"/>
      <c r="J140" s="256"/>
    </row>
    <row r="141" spans="1:10" ht="12.75" outlineLevel="1">
      <c r="A141" s="310"/>
      <c r="B141" s="311"/>
      <c r="C141" s="311"/>
      <c r="D141" s="311"/>
      <c r="E141" s="314"/>
      <c r="F141" s="315"/>
      <c r="G141" s="311"/>
      <c r="H141" s="313"/>
      <c r="I141" s="256"/>
      <c r="J141" s="256"/>
    </row>
    <row r="142" spans="1:10" ht="12.75" outlineLevel="1">
      <c r="A142" s="864" t="s">
        <v>113</v>
      </c>
      <c r="B142" s="864"/>
      <c r="C142" s="864"/>
      <c r="D142" s="864"/>
      <c r="E142" s="864"/>
      <c r="F142" s="864"/>
      <c r="G142" s="864"/>
      <c r="H142" s="864"/>
      <c r="I142" s="256"/>
      <c r="J142" s="256"/>
    </row>
    <row r="143" spans="1:10" ht="12.75" outlineLevel="1">
      <c r="A143" s="271"/>
      <c r="B143" s="272"/>
      <c r="C143" s="272"/>
      <c r="D143" s="272"/>
      <c r="E143" s="273"/>
      <c r="F143" s="274"/>
      <c r="G143" s="272"/>
      <c r="H143" s="275"/>
      <c r="I143" s="256"/>
      <c r="J143" s="256"/>
    </row>
    <row r="144" spans="1:10" ht="22.5" outlineLevel="1">
      <c r="A144" s="276" t="s">
        <v>114</v>
      </c>
      <c r="B144" s="277" t="s">
        <v>115</v>
      </c>
      <c r="C144" s="277" t="s">
        <v>116</v>
      </c>
      <c r="D144" s="277" t="s">
        <v>117</v>
      </c>
      <c r="E144" s="278" t="s">
        <v>118</v>
      </c>
      <c r="F144" s="279" t="s">
        <v>48</v>
      </c>
      <c r="G144" s="277"/>
      <c r="H144" s="280"/>
      <c r="I144" s="256"/>
      <c r="J144" s="256"/>
    </row>
    <row r="145" spans="1:10" ht="12.75" outlineLevel="1">
      <c r="A145" s="281" t="s">
        <v>133</v>
      </c>
      <c r="B145" s="282"/>
      <c r="C145" s="282">
        <f>C140</f>
        <v>16000000</v>
      </c>
      <c r="D145" s="282"/>
      <c r="E145" s="284"/>
      <c r="F145" s="285"/>
      <c r="G145" s="282"/>
      <c r="H145" s="286"/>
      <c r="I145" s="256"/>
      <c r="J145" s="256"/>
    </row>
    <row r="146" spans="1:10" ht="12.75" outlineLevel="1">
      <c r="A146" s="307">
        <v>49034</v>
      </c>
      <c r="B146" s="282">
        <f>A146-A139</f>
        <v>90</v>
      </c>
      <c r="C146" s="282">
        <f>C145-D146</f>
        <v>15750000</v>
      </c>
      <c r="D146" s="282">
        <v>250000</v>
      </c>
      <c r="E146" s="308">
        <f>$E$11+$E$12</f>
        <v>0.0585</v>
      </c>
      <c r="F146" s="285">
        <f>B146*C145*E146/I146</f>
        <v>230794.5205479452</v>
      </c>
      <c r="G146" s="282"/>
      <c r="H146" s="286"/>
      <c r="I146" s="256">
        <v>365</v>
      </c>
      <c r="J146" s="256"/>
    </row>
    <row r="147" spans="1:10" ht="12.75" outlineLevel="1">
      <c r="A147" s="307">
        <v>49125</v>
      </c>
      <c r="B147" s="282">
        <f>A147-A146</f>
        <v>91</v>
      </c>
      <c r="C147" s="282">
        <f>C146-D147</f>
        <v>15500000</v>
      </c>
      <c r="D147" s="282">
        <v>250000</v>
      </c>
      <c r="E147" s="308">
        <f>$E$11+$E$12</f>
        <v>0.0585</v>
      </c>
      <c r="F147" s="285">
        <f>B147*C146*E147/I147</f>
        <v>229712.67123287672</v>
      </c>
      <c r="G147" s="282"/>
      <c r="H147" s="286"/>
      <c r="I147" s="256">
        <v>365</v>
      </c>
      <c r="J147" s="256"/>
    </row>
    <row r="148" spans="1:10" ht="12.75" outlineLevel="1">
      <c r="A148" s="307">
        <v>49217</v>
      </c>
      <c r="B148" s="282">
        <f>A148-A147</f>
        <v>92</v>
      </c>
      <c r="C148" s="282">
        <f>C147-D148</f>
        <v>15250000</v>
      </c>
      <c r="D148" s="282">
        <v>250000</v>
      </c>
      <c r="E148" s="308">
        <f>$E$11+$E$12</f>
        <v>0.0585</v>
      </c>
      <c r="F148" s="285">
        <f>B148*C147*E148/I148</f>
        <v>228550.68493150684</v>
      </c>
      <c r="G148" s="282"/>
      <c r="H148" s="286"/>
      <c r="I148" s="256">
        <v>365</v>
      </c>
      <c r="J148" s="256"/>
    </row>
    <row r="149" spans="1:10" ht="12.75" outlineLevel="1">
      <c r="A149" s="307">
        <v>49309</v>
      </c>
      <c r="B149" s="282">
        <f>A149-A148</f>
        <v>92</v>
      </c>
      <c r="C149" s="282">
        <f>C148-D149</f>
        <v>15000000</v>
      </c>
      <c r="D149" s="282">
        <v>250000</v>
      </c>
      <c r="E149" s="308">
        <f>$E$11+$E$12</f>
        <v>0.0585</v>
      </c>
      <c r="F149" s="285">
        <f>B149*C148*E149/I149</f>
        <v>224864.38356164383</v>
      </c>
      <c r="G149" s="282"/>
      <c r="H149" s="286"/>
      <c r="I149" s="256">
        <v>365</v>
      </c>
      <c r="J149" s="256"/>
    </row>
    <row r="150" spans="1:10" ht="12.75" outlineLevel="1">
      <c r="A150" s="309"/>
      <c r="B150" s="288"/>
      <c r="C150" s="288">
        <f>C149</f>
        <v>15000000</v>
      </c>
      <c r="D150" s="288">
        <f>SUM(D146:D149)</f>
        <v>1000000</v>
      </c>
      <c r="E150" s="289"/>
      <c r="F150" s="274">
        <f>SUM(F146:F149)</f>
        <v>913922.2602739725</v>
      </c>
      <c r="G150" s="288"/>
      <c r="H150" s="290"/>
      <c r="I150" s="256"/>
      <c r="J150" s="256"/>
    </row>
    <row r="151" spans="1:10" ht="12.75" outlineLevel="1">
      <c r="A151" s="310"/>
      <c r="B151" s="311"/>
      <c r="C151" s="311"/>
      <c r="D151" s="311"/>
      <c r="E151" s="314"/>
      <c r="F151" s="315"/>
      <c r="G151" s="311"/>
      <c r="H151" s="313"/>
      <c r="I151" s="256"/>
      <c r="J151" s="256"/>
    </row>
    <row r="152" spans="1:10" ht="12.75" outlineLevel="1">
      <c r="A152" s="864" t="s">
        <v>113</v>
      </c>
      <c r="B152" s="864"/>
      <c r="C152" s="864"/>
      <c r="D152" s="864"/>
      <c r="E152" s="864"/>
      <c r="F152" s="864"/>
      <c r="G152" s="864"/>
      <c r="H152" s="864"/>
      <c r="I152" s="256"/>
      <c r="J152" s="256"/>
    </row>
    <row r="153" spans="1:10" ht="12.75" outlineLevel="1">
      <c r="A153" s="271"/>
      <c r="B153" s="272"/>
      <c r="C153" s="272"/>
      <c r="D153" s="272"/>
      <c r="E153" s="273"/>
      <c r="F153" s="274"/>
      <c r="G153" s="272"/>
      <c r="H153" s="275"/>
      <c r="I153" s="256"/>
      <c r="J153" s="256"/>
    </row>
    <row r="154" spans="1:10" ht="22.5" outlineLevel="1">
      <c r="A154" s="276" t="s">
        <v>114</v>
      </c>
      <c r="B154" s="277" t="s">
        <v>115</v>
      </c>
      <c r="C154" s="277" t="s">
        <v>116</v>
      </c>
      <c r="D154" s="277" t="s">
        <v>117</v>
      </c>
      <c r="E154" s="278" t="s">
        <v>118</v>
      </c>
      <c r="F154" s="279" t="s">
        <v>48</v>
      </c>
      <c r="G154" s="277"/>
      <c r="H154" s="280"/>
      <c r="I154" s="256"/>
      <c r="J154" s="256"/>
    </row>
    <row r="155" spans="1:10" ht="12.75" outlineLevel="1">
      <c r="A155" s="281" t="s">
        <v>209</v>
      </c>
      <c r="B155" s="282"/>
      <c r="C155" s="282">
        <f>C150</f>
        <v>15000000</v>
      </c>
      <c r="D155" s="282"/>
      <c r="E155" s="284"/>
      <c r="F155" s="285"/>
      <c r="G155" s="282"/>
      <c r="H155" s="286"/>
      <c r="I155" s="256"/>
      <c r="J155" s="256"/>
    </row>
    <row r="156" spans="1:10" ht="12.75" outlineLevel="1">
      <c r="A156" s="307">
        <v>49399</v>
      </c>
      <c r="B156" s="282">
        <f>A156-A149</f>
        <v>90</v>
      </c>
      <c r="C156" s="282">
        <f>C155-D156</f>
        <v>14750000</v>
      </c>
      <c r="D156" s="282">
        <v>250000</v>
      </c>
      <c r="E156" s="308">
        <f>$E$11+$E$12</f>
        <v>0.0585</v>
      </c>
      <c r="F156" s="285">
        <f>B156*C155*E156/I156</f>
        <v>216369.86301369863</v>
      </c>
      <c r="G156" s="282"/>
      <c r="H156" s="286"/>
      <c r="I156" s="256">
        <v>365</v>
      </c>
      <c r="J156" s="256"/>
    </row>
    <row r="157" spans="1:10" ht="12.75" outlineLevel="1">
      <c r="A157" s="307">
        <v>49490</v>
      </c>
      <c r="B157" s="282">
        <f>A157-A156</f>
        <v>91</v>
      </c>
      <c r="C157" s="282">
        <f>C156-D157</f>
        <v>14500000</v>
      </c>
      <c r="D157" s="282">
        <v>250000</v>
      </c>
      <c r="E157" s="308">
        <f>$E$11+$E$12</f>
        <v>0.0585</v>
      </c>
      <c r="F157" s="285">
        <f>B157*C156*E157/I157</f>
        <v>215127.7397260274</v>
      </c>
      <c r="G157" s="282"/>
      <c r="H157" s="286"/>
      <c r="I157" s="256">
        <v>365</v>
      </c>
      <c r="J157" s="256"/>
    </row>
    <row r="158" spans="1:10" ht="12.75" outlineLevel="1">
      <c r="A158" s="307">
        <v>49582</v>
      </c>
      <c r="B158" s="282">
        <f>A158-A157</f>
        <v>92</v>
      </c>
      <c r="C158" s="282">
        <f>C157-D158</f>
        <v>14250000</v>
      </c>
      <c r="D158" s="282">
        <v>250000</v>
      </c>
      <c r="E158" s="308">
        <f>$E$11+$E$12</f>
        <v>0.0585</v>
      </c>
      <c r="F158" s="285">
        <f>B158*C157*E158/I158</f>
        <v>213805.4794520548</v>
      </c>
      <c r="G158" s="282"/>
      <c r="H158" s="286"/>
      <c r="I158" s="256">
        <v>365</v>
      </c>
      <c r="J158" s="256"/>
    </row>
    <row r="159" spans="1:10" ht="12.75" outlineLevel="1">
      <c r="A159" s="307">
        <v>49674</v>
      </c>
      <c r="B159" s="282">
        <f>A159-A158</f>
        <v>92</v>
      </c>
      <c r="C159" s="282">
        <f>C158-D159</f>
        <v>14000000</v>
      </c>
      <c r="D159" s="282">
        <v>250000</v>
      </c>
      <c r="E159" s="308">
        <f>$E$11+$E$12</f>
        <v>0.0585</v>
      </c>
      <c r="F159" s="285">
        <f>B159*C158*E159/I159</f>
        <v>210119.1780821918</v>
      </c>
      <c r="G159" s="282"/>
      <c r="H159" s="286"/>
      <c r="I159" s="256">
        <v>365</v>
      </c>
      <c r="J159" s="256"/>
    </row>
    <row r="160" spans="1:10" ht="12.75" outlineLevel="1">
      <c r="A160" s="309"/>
      <c r="B160" s="288"/>
      <c r="C160" s="288">
        <f>C159</f>
        <v>14000000</v>
      </c>
      <c r="D160" s="288">
        <f>SUM(D156:D159)</f>
        <v>1000000</v>
      </c>
      <c r="E160" s="289"/>
      <c r="F160" s="274">
        <f>SUM(F156:F159)</f>
        <v>855422.2602739725</v>
      </c>
      <c r="G160" s="288"/>
      <c r="H160" s="290"/>
      <c r="I160" s="256"/>
      <c r="J160" s="256"/>
    </row>
    <row r="161" spans="1:10" ht="12.75" outlineLevel="1">
      <c r="A161" s="310"/>
      <c r="B161" s="311"/>
      <c r="C161" s="311"/>
      <c r="D161" s="311"/>
      <c r="E161" s="314"/>
      <c r="F161" s="315"/>
      <c r="G161" s="311"/>
      <c r="H161" s="313"/>
      <c r="I161" s="256"/>
      <c r="J161" s="256"/>
    </row>
    <row r="162" spans="1:10" ht="12.75" outlineLevel="1">
      <c r="A162" s="864" t="s">
        <v>113</v>
      </c>
      <c r="B162" s="864"/>
      <c r="C162" s="864"/>
      <c r="D162" s="864"/>
      <c r="E162" s="864"/>
      <c r="F162" s="864"/>
      <c r="G162" s="864"/>
      <c r="H162" s="864"/>
      <c r="I162" s="256"/>
      <c r="J162" s="256"/>
    </row>
    <row r="163" spans="1:10" ht="12.75" outlineLevel="1">
      <c r="A163" s="271"/>
      <c r="B163" s="272"/>
      <c r="C163" s="272"/>
      <c r="D163" s="272"/>
      <c r="E163" s="273"/>
      <c r="F163" s="274"/>
      <c r="G163" s="272"/>
      <c r="H163" s="275"/>
      <c r="I163" s="256"/>
      <c r="J163" s="256"/>
    </row>
    <row r="164" spans="1:10" ht="22.5" outlineLevel="1">
      <c r="A164" s="276" t="s">
        <v>114</v>
      </c>
      <c r="B164" s="277" t="s">
        <v>115</v>
      </c>
      <c r="C164" s="277" t="s">
        <v>116</v>
      </c>
      <c r="D164" s="277" t="s">
        <v>117</v>
      </c>
      <c r="E164" s="278" t="s">
        <v>118</v>
      </c>
      <c r="F164" s="279" t="s">
        <v>48</v>
      </c>
      <c r="G164" s="277"/>
      <c r="H164" s="280"/>
      <c r="I164" s="256"/>
      <c r="J164" s="256"/>
    </row>
    <row r="165" spans="1:10" ht="12.75" outlineLevel="1">
      <c r="A165" s="281">
        <v>2036</v>
      </c>
      <c r="B165" s="282"/>
      <c r="C165" s="282">
        <f>C160</f>
        <v>14000000</v>
      </c>
      <c r="D165" s="282"/>
      <c r="E165" s="284"/>
      <c r="F165" s="285"/>
      <c r="G165" s="282"/>
      <c r="H165" s="286"/>
      <c r="I165" s="256"/>
      <c r="J165" s="256"/>
    </row>
    <row r="166" spans="1:10" ht="12.75" outlineLevel="1">
      <c r="A166" s="307">
        <v>49765</v>
      </c>
      <c r="B166" s="282">
        <f>A166-A159</f>
        <v>91</v>
      </c>
      <c r="C166" s="282">
        <f>C165-D166</f>
        <v>13750000</v>
      </c>
      <c r="D166" s="282">
        <v>250000</v>
      </c>
      <c r="E166" s="308">
        <f>$E$11+$E$12</f>
        <v>0.0585</v>
      </c>
      <c r="F166" s="285">
        <f>B166*C165*E166/I166</f>
        <v>203631.1475409836</v>
      </c>
      <c r="G166" s="282"/>
      <c r="H166" s="286"/>
      <c r="I166" s="256">
        <v>366</v>
      </c>
      <c r="J166" s="256"/>
    </row>
    <row r="167" spans="1:10" ht="12.75" outlineLevel="1">
      <c r="A167" s="307">
        <v>49856</v>
      </c>
      <c r="B167" s="282">
        <f>A167-A166</f>
        <v>91</v>
      </c>
      <c r="C167" s="282">
        <f>C166-D167</f>
        <v>13500000</v>
      </c>
      <c r="D167" s="282">
        <v>250000</v>
      </c>
      <c r="E167" s="308">
        <f>$E$11+$E$12</f>
        <v>0.0585</v>
      </c>
      <c r="F167" s="285">
        <f>B167*C166*E167/I167</f>
        <v>199994.87704918033</v>
      </c>
      <c r="G167" s="282"/>
      <c r="H167" s="286"/>
      <c r="I167" s="256">
        <v>366</v>
      </c>
      <c r="J167" s="256"/>
    </row>
    <row r="168" spans="1:10" ht="12.75" outlineLevel="1">
      <c r="A168" s="307">
        <v>49948</v>
      </c>
      <c r="B168" s="282">
        <f>A168-A167</f>
        <v>92</v>
      </c>
      <c r="C168" s="282">
        <f>C167-D168</f>
        <v>13250000</v>
      </c>
      <c r="D168" s="282">
        <v>250000</v>
      </c>
      <c r="E168" s="308">
        <f>$E$11+$E$12</f>
        <v>0.0585</v>
      </c>
      <c r="F168" s="285">
        <f>B168*C167*E168/I168</f>
        <v>198516.39344262294</v>
      </c>
      <c r="G168" s="282"/>
      <c r="H168" s="286"/>
      <c r="I168" s="256">
        <v>366</v>
      </c>
      <c r="J168" s="256"/>
    </row>
    <row r="169" spans="1:10" ht="12.75" outlineLevel="1">
      <c r="A169" s="307">
        <v>50040</v>
      </c>
      <c r="B169" s="282">
        <f>A169-A168</f>
        <v>92</v>
      </c>
      <c r="C169" s="282">
        <f>C168-D169</f>
        <v>13000000</v>
      </c>
      <c r="D169" s="282">
        <v>250000</v>
      </c>
      <c r="E169" s="308">
        <f>$E$11+$E$12</f>
        <v>0.0585</v>
      </c>
      <c r="F169" s="285">
        <f>B169*C168*E169/I169</f>
        <v>194840.16393442624</v>
      </c>
      <c r="G169" s="282"/>
      <c r="H169" s="286"/>
      <c r="I169" s="256">
        <v>366</v>
      </c>
      <c r="J169" s="256"/>
    </row>
    <row r="170" spans="1:10" ht="12.75" outlineLevel="1">
      <c r="A170" s="309"/>
      <c r="B170" s="288"/>
      <c r="C170" s="288">
        <f>C169</f>
        <v>13000000</v>
      </c>
      <c r="D170" s="288">
        <f>SUM(D166:D169)</f>
        <v>1000000</v>
      </c>
      <c r="E170" s="289"/>
      <c r="F170" s="274">
        <f>SUM(F166:F169)</f>
        <v>796982.5819672132</v>
      </c>
      <c r="G170" s="288"/>
      <c r="H170" s="290"/>
      <c r="I170" s="256"/>
      <c r="J170" s="256"/>
    </row>
    <row r="171" spans="1:10" ht="12.75" outlineLevel="1">
      <c r="A171" s="310"/>
      <c r="B171" s="311"/>
      <c r="C171" s="311"/>
      <c r="D171" s="311"/>
      <c r="E171" s="314"/>
      <c r="F171" s="315"/>
      <c r="G171" s="311"/>
      <c r="H171" s="313"/>
      <c r="I171" s="256"/>
      <c r="J171" s="256"/>
    </row>
    <row r="172" spans="1:10" ht="12.75" outlineLevel="1">
      <c r="A172" s="864" t="s">
        <v>113</v>
      </c>
      <c r="B172" s="864"/>
      <c r="C172" s="864"/>
      <c r="D172" s="864"/>
      <c r="E172" s="864"/>
      <c r="F172" s="864"/>
      <c r="G172" s="864"/>
      <c r="H172" s="864"/>
      <c r="I172" s="256"/>
      <c r="J172" s="256"/>
    </row>
    <row r="173" spans="1:10" ht="12.75" outlineLevel="1">
      <c r="A173" s="271"/>
      <c r="B173" s="272"/>
      <c r="C173" s="272"/>
      <c r="D173" s="272"/>
      <c r="E173" s="273"/>
      <c r="F173" s="274"/>
      <c r="G173" s="272"/>
      <c r="H173" s="275"/>
      <c r="I173" s="256"/>
      <c r="J173" s="256"/>
    </row>
    <row r="174" spans="1:10" ht="22.5" outlineLevel="1">
      <c r="A174" s="276" t="s">
        <v>114</v>
      </c>
      <c r="B174" s="277" t="s">
        <v>115</v>
      </c>
      <c r="C174" s="277" t="s">
        <v>116</v>
      </c>
      <c r="D174" s="277" t="s">
        <v>117</v>
      </c>
      <c r="E174" s="278" t="s">
        <v>118</v>
      </c>
      <c r="F174" s="279" t="s">
        <v>48</v>
      </c>
      <c r="G174" s="277"/>
      <c r="H174" s="280"/>
      <c r="I174" s="256"/>
      <c r="J174" s="256"/>
    </row>
    <row r="175" spans="1:10" ht="12.75" outlineLevel="1">
      <c r="A175" s="281" t="s">
        <v>135</v>
      </c>
      <c r="B175" s="282"/>
      <c r="C175" s="282">
        <f>C170</f>
        <v>13000000</v>
      </c>
      <c r="D175" s="282"/>
      <c r="E175" s="284"/>
      <c r="F175" s="285"/>
      <c r="G175" s="282"/>
      <c r="H175" s="286"/>
      <c r="I175" s="256"/>
      <c r="J175" s="256"/>
    </row>
    <row r="176" spans="1:10" ht="12.75" outlineLevel="1">
      <c r="A176" s="307">
        <v>50130</v>
      </c>
      <c r="B176" s="282">
        <v>90</v>
      </c>
      <c r="C176" s="282">
        <f>C175-D176</f>
        <v>12750000</v>
      </c>
      <c r="D176" s="282">
        <v>250000</v>
      </c>
      <c r="E176" s="308">
        <f>$E$11+$E$12</f>
        <v>0.0585</v>
      </c>
      <c r="F176" s="285">
        <f>B176*C175*E176/I176</f>
        <v>187520.54794520547</v>
      </c>
      <c r="G176" s="282"/>
      <c r="H176" s="286"/>
      <c r="I176" s="256">
        <v>365</v>
      </c>
      <c r="J176" s="256"/>
    </row>
    <row r="177" spans="1:10" ht="12.75" outlineLevel="1">
      <c r="A177" s="307">
        <v>50221</v>
      </c>
      <c r="B177" s="282">
        <f>A177-A176</f>
        <v>91</v>
      </c>
      <c r="C177" s="282">
        <f>C176-D177</f>
        <v>12500000</v>
      </c>
      <c r="D177" s="282">
        <v>250000</v>
      </c>
      <c r="E177" s="308">
        <f>$E$11+$E$12</f>
        <v>0.0585</v>
      </c>
      <c r="F177" s="285">
        <f>B177*C176*E177/I177</f>
        <v>185957.87671232875</v>
      </c>
      <c r="G177" s="282"/>
      <c r="H177" s="286"/>
      <c r="I177" s="256">
        <v>365</v>
      </c>
      <c r="J177" s="256"/>
    </row>
    <row r="178" spans="1:10" ht="12.75" outlineLevel="1">
      <c r="A178" s="307">
        <v>50313</v>
      </c>
      <c r="B178" s="282">
        <f>A178-A177</f>
        <v>92</v>
      </c>
      <c r="C178" s="282">
        <f>C177-D178</f>
        <v>12250000</v>
      </c>
      <c r="D178" s="282">
        <v>250000</v>
      </c>
      <c r="E178" s="308">
        <f>$E$11+$E$12</f>
        <v>0.0585</v>
      </c>
      <c r="F178" s="285">
        <f>B178*C177*E178/I178</f>
        <v>184315.0684931507</v>
      </c>
      <c r="G178" s="282"/>
      <c r="H178" s="286"/>
      <c r="I178" s="256">
        <v>365</v>
      </c>
      <c r="J178" s="256"/>
    </row>
    <row r="179" spans="1:10" ht="12.75" outlineLevel="1">
      <c r="A179" s="307">
        <v>50405</v>
      </c>
      <c r="B179" s="282">
        <f>A179-A178</f>
        <v>92</v>
      </c>
      <c r="C179" s="282">
        <f>C178-D179</f>
        <v>12000000</v>
      </c>
      <c r="D179" s="282">
        <v>250000</v>
      </c>
      <c r="E179" s="308">
        <f>$E$11+$E$12</f>
        <v>0.0585</v>
      </c>
      <c r="F179" s="285">
        <f>B179*C178*E179/I179</f>
        <v>180628.7671232877</v>
      </c>
      <c r="G179" s="282"/>
      <c r="H179" s="286"/>
      <c r="I179" s="256">
        <v>365</v>
      </c>
      <c r="J179" s="256"/>
    </row>
    <row r="180" spans="1:10" ht="12.75" outlineLevel="1">
      <c r="A180" s="309"/>
      <c r="B180" s="288"/>
      <c r="C180" s="288">
        <f>C179</f>
        <v>12000000</v>
      </c>
      <c r="D180" s="288">
        <f>SUM(D176:D179)</f>
        <v>1000000</v>
      </c>
      <c r="E180" s="289"/>
      <c r="F180" s="274">
        <f>SUM(F176:F179)</f>
        <v>738422.2602739726</v>
      </c>
      <c r="G180" s="288"/>
      <c r="H180" s="290"/>
      <c r="I180" s="256"/>
      <c r="J180" s="256"/>
    </row>
    <row r="181" spans="1:10" ht="12.75" outlineLevel="1">
      <c r="A181" s="256"/>
      <c r="B181" s="255"/>
      <c r="C181" s="255"/>
      <c r="D181" s="255"/>
      <c r="E181" s="257"/>
      <c r="F181" s="258"/>
      <c r="G181" s="255"/>
      <c r="H181" s="255"/>
      <c r="I181" s="256"/>
      <c r="J181" s="256"/>
    </row>
    <row r="182" spans="1:9" ht="12.75" outlineLevel="1">
      <c r="A182" s="864" t="s">
        <v>113</v>
      </c>
      <c r="B182" s="864"/>
      <c r="C182" s="864"/>
      <c r="D182" s="864"/>
      <c r="E182" s="864"/>
      <c r="F182" s="864"/>
      <c r="G182" s="864"/>
      <c r="H182" s="864"/>
      <c r="I182" s="256"/>
    </row>
    <row r="183" spans="1:9" ht="12.75" outlineLevel="1">
      <c r="A183" s="271"/>
      <c r="B183" s="272"/>
      <c r="C183" s="272"/>
      <c r="D183" s="272"/>
      <c r="E183" s="273"/>
      <c r="F183" s="274"/>
      <c r="G183" s="272"/>
      <c r="H183" s="275"/>
      <c r="I183" s="256"/>
    </row>
    <row r="184" spans="1:9" ht="22.5" outlineLevel="1">
      <c r="A184" s="276" t="s">
        <v>114</v>
      </c>
      <c r="B184" s="277" t="s">
        <v>115</v>
      </c>
      <c r="C184" s="277" t="s">
        <v>116</v>
      </c>
      <c r="D184" s="277" t="s">
        <v>117</v>
      </c>
      <c r="E184" s="278" t="s">
        <v>118</v>
      </c>
      <c r="F184" s="279" t="s">
        <v>48</v>
      </c>
      <c r="G184" s="277"/>
      <c r="H184" s="280"/>
      <c r="I184" s="256"/>
    </row>
    <row r="185" spans="1:9" ht="12.75" outlineLevel="1">
      <c r="A185" s="281" t="s">
        <v>136</v>
      </c>
      <c r="B185" s="282"/>
      <c r="C185" s="282">
        <f>C180</f>
        <v>12000000</v>
      </c>
      <c r="D185" s="282"/>
      <c r="E185" s="284"/>
      <c r="F185" s="285"/>
      <c r="G185" s="282"/>
      <c r="H185" s="286"/>
      <c r="I185" s="256"/>
    </row>
    <row r="186" spans="1:9" ht="12.75" outlineLevel="1">
      <c r="A186" s="307">
        <v>50495</v>
      </c>
      <c r="B186" s="282">
        <f>A186-A179</f>
        <v>90</v>
      </c>
      <c r="C186" s="282">
        <f>C185-D186</f>
        <v>11750000</v>
      </c>
      <c r="D186" s="282">
        <v>250000</v>
      </c>
      <c r="E186" s="308">
        <f>$E$11+$E$12</f>
        <v>0.0585</v>
      </c>
      <c r="F186" s="285">
        <f>B186*C185*E186/I186</f>
        <v>173095.8904109589</v>
      </c>
      <c r="G186" s="282"/>
      <c r="H186" s="286"/>
      <c r="I186" s="256">
        <v>365</v>
      </c>
    </row>
    <row r="187" spans="1:9" ht="12.75" outlineLevel="1">
      <c r="A187" s="307">
        <v>50586</v>
      </c>
      <c r="B187" s="282">
        <f>A187-A186</f>
        <v>91</v>
      </c>
      <c r="C187" s="282">
        <f>C186-D187</f>
        <v>11500000</v>
      </c>
      <c r="D187" s="282">
        <v>250000</v>
      </c>
      <c r="E187" s="308">
        <f>$E$11+$E$12</f>
        <v>0.0585</v>
      </c>
      <c r="F187" s="285">
        <f>B187*C186*E187/I187</f>
        <v>171372.94520547945</v>
      </c>
      <c r="G187" s="282"/>
      <c r="H187" s="286"/>
      <c r="I187" s="256">
        <v>365</v>
      </c>
    </row>
    <row r="188" spans="1:10" ht="12.75" outlineLevel="1">
      <c r="A188" s="307">
        <v>50678</v>
      </c>
      <c r="B188" s="282">
        <f>A188-A187</f>
        <v>92</v>
      </c>
      <c r="C188" s="282">
        <f>C187-D188</f>
        <v>11250000</v>
      </c>
      <c r="D188" s="282">
        <v>250000</v>
      </c>
      <c r="E188" s="308">
        <f>$E$11+$E$12</f>
        <v>0.0585</v>
      </c>
      <c r="F188" s="285">
        <f>B188*C187*E188/I188</f>
        <v>169569.86301369863</v>
      </c>
      <c r="G188" s="282"/>
      <c r="H188" s="286"/>
      <c r="I188" s="256">
        <v>365</v>
      </c>
      <c r="J188" s="256"/>
    </row>
    <row r="189" spans="1:10" ht="12.75" outlineLevel="1">
      <c r="A189" s="307">
        <v>50770</v>
      </c>
      <c r="B189" s="282">
        <f>A189-A188</f>
        <v>92</v>
      </c>
      <c r="C189" s="282">
        <f>C188-D189</f>
        <v>11000000</v>
      </c>
      <c r="D189" s="282">
        <v>250000</v>
      </c>
      <c r="E189" s="308">
        <f>$E$11+$E$12</f>
        <v>0.0585</v>
      </c>
      <c r="F189" s="285">
        <f>B189*C188*E189/I189</f>
        <v>165883.56164383562</v>
      </c>
      <c r="G189" s="282"/>
      <c r="H189" s="286"/>
      <c r="I189" s="256">
        <v>365</v>
      </c>
      <c r="J189" s="256"/>
    </row>
    <row r="190" spans="1:9" ht="12.75" outlineLevel="1">
      <c r="A190" s="309"/>
      <c r="B190" s="288"/>
      <c r="C190" s="288">
        <f>C189</f>
        <v>11000000</v>
      </c>
      <c r="D190" s="288">
        <f>SUM(D186:D189)</f>
        <v>1000000</v>
      </c>
      <c r="E190" s="289"/>
      <c r="F190" s="274">
        <f>SUM(F186:F189)</f>
        <v>679922.2602739726</v>
      </c>
      <c r="G190" s="288"/>
      <c r="H190" s="290"/>
      <c r="I190" s="256"/>
    </row>
    <row r="191" ht="12.75" outlineLevel="1"/>
    <row r="192" spans="1:9" ht="12.75" outlineLevel="1">
      <c r="A192" s="864" t="s">
        <v>113</v>
      </c>
      <c r="B192" s="864"/>
      <c r="C192" s="864"/>
      <c r="D192" s="864"/>
      <c r="E192" s="864"/>
      <c r="F192" s="864"/>
      <c r="G192" s="864"/>
      <c r="H192" s="864"/>
      <c r="I192" s="256"/>
    </row>
    <row r="193" spans="1:9" ht="12.75" outlineLevel="1">
      <c r="A193" s="271"/>
      <c r="B193" s="272"/>
      <c r="C193" s="272"/>
      <c r="D193" s="272"/>
      <c r="E193" s="273"/>
      <c r="F193" s="274"/>
      <c r="G193" s="272"/>
      <c r="H193" s="275"/>
      <c r="I193" s="256"/>
    </row>
    <row r="194" spans="1:9" ht="22.5" outlineLevel="1">
      <c r="A194" s="276" t="s">
        <v>114</v>
      </c>
      <c r="B194" s="277" t="s">
        <v>115</v>
      </c>
      <c r="C194" s="277" t="s">
        <v>116</v>
      </c>
      <c r="D194" s="277" t="s">
        <v>117</v>
      </c>
      <c r="E194" s="278" t="s">
        <v>118</v>
      </c>
      <c r="F194" s="279" t="s">
        <v>48</v>
      </c>
      <c r="G194" s="277"/>
      <c r="H194" s="280"/>
      <c r="I194" s="256"/>
    </row>
    <row r="195" spans="1:9" ht="12.75" outlineLevel="1">
      <c r="A195" s="281" t="s">
        <v>137</v>
      </c>
      <c r="B195" s="282"/>
      <c r="C195" s="282">
        <f>C190</f>
        <v>11000000</v>
      </c>
      <c r="D195" s="282"/>
      <c r="E195" s="284"/>
      <c r="F195" s="285"/>
      <c r="G195" s="282"/>
      <c r="H195" s="286"/>
      <c r="I195" s="256"/>
    </row>
    <row r="196" spans="1:9" ht="12.75" outlineLevel="1">
      <c r="A196" s="307">
        <v>50860</v>
      </c>
      <c r="B196" s="282">
        <f>A196-A189</f>
        <v>90</v>
      </c>
      <c r="C196" s="282">
        <f>C195-D196</f>
        <v>10750000</v>
      </c>
      <c r="D196" s="282">
        <v>250000</v>
      </c>
      <c r="E196" s="308">
        <f>$E$11+$E$12</f>
        <v>0.0585</v>
      </c>
      <c r="F196" s="285">
        <f>B196*C195*E196/I196</f>
        <v>158671.23287671234</v>
      </c>
      <c r="G196" s="282"/>
      <c r="H196" s="286"/>
      <c r="I196" s="256">
        <v>365</v>
      </c>
    </row>
    <row r="197" spans="1:9" ht="12.75" outlineLevel="1">
      <c r="A197" s="307">
        <v>50951</v>
      </c>
      <c r="B197" s="282">
        <f>A197-A196</f>
        <v>91</v>
      </c>
      <c r="C197" s="282">
        <f>C196-D197</f>
        <v>10500000</v>
      </c>
      <c r="D197" s="282">
        <v>250000</v>
      </c>
      <c r="E197" s="308">
        <f>$E$11+$E$12</f>
        <v>0.0585</v>
      </c>
      <c r="F197" s="285">
        <f>B197*C196*E197/I197</f>
        <v>156788.01369863015</v>
      </c>
      <c r="G197" s="282"/>
      <c r="H197" s="286"/>
      <c r="I197" s="256">
        <v>365</v>
      </c>
    </row>
    <row r="198" spans="1:9" ht="12.75" outlineLevel="1">
      <c r="A198" s="307">
        <v>51043</v>
      </c>
      <c r="B198" s="282">
        <f>A198-A197</f>
        <v>92</v>
      </c>
      <c r="C198" s="282">
        <f>C197-D198</f>
        <v>10250000</v>
      </c>
      <c r="D198" s="282">
        <v>250000</v>
      </c>
      <c r="E198" s="308">
        <f>$E$11+$E$12</f>
        <v>0.0585</v>
      </c>
      <c r="F198" s="285">
        <f>B198*C197*E198/I198</f>
        <v>154824.65753424657</v>
      </c>
      <c r="G198" s="282"/>
      <c r="H198" s="286"/>
      <c r="I198" s="256">
        <v>365</v>
      </c>
    </row>
    <row r="199" spans="1:9" ht="12.75" outlineLevel="1">
      <c r="A199" s="307">
        <v>51135</v>
      </c>
      <c r="B199" s="282">
        <f>A199-A198</f>
        <v>92</v>
      </c>
      <c r="C199" s="282">
        <f>C198-D199</f>
        <v>10000000</v>
      </c>
      <c r="D199" s="282">
        <v>250000</v>
      </c>
      <c r="E199" s="308">
        <f>$E$11+$E$12</f>
        <v>0.0585</v>
      </c>
      <c r="F199" s="285">
        <f>B199*C198*E199/I199</f>
        <v>151138.35616438356</v>
      </c>
      <c r="G199" s="282"/>
      <c r="H199" s="286"/>
      <c r="I199" s="256">
        <v>365</v>
      </c>
    </row>
    <row r="200" spans="1:9" ht="12.75" outlineLevel="1">
      <c r="A200" s="309"/>
      <c r="B200" s="288"/>
      <c r="C200" s="288">
        <f>C199</f>
        <v>10000000</v>
      </c>
      <c r="D200" s="288">
        <f>SUM(D196:D199)</f>
        <v>1000000</v>
      </c>
      <c r="E200" s="289"/>
      <c r="F200" s="274">
        <f>SUM(F196:F199)</f>
        <v>621422.2602739726</v>
      </c>
      <c r="G200" s="288"/>
      <c r="H200" s="290"/>
      <c r="I200" s="256"/>
    </row>
    <row r="201" ht="12.75" outlineLevel="1"/>
    <row r="202" spans="1:9" ht="12.75" outlineLevel="1">
      <c r="A202" s="864" t="s">
        <v>113</v>
      </c>
      <c r="B202" s="864"/>
      <c r="C202" s="864"/>
      <c r="D202" s="864"/>
      <c r="E202" s="864"/>
      <c r="F202" s="864"/>
      <c r="G202" s="864"/>
      <c r="H202" s="864"/>
      <c r="I202" s="256"/>
    </row>
    <row r="203" spans="1:9" ht="12.75" outlineLevel="1">
      <c r="A203" s="271"/>
      <c r="B203" s="272"/>
      <c r="C203" s="272"/>
      <c r="D203" s="272"/>
      <c r="E203" s="273"/>
      <c r="F203" s="274"/>
      <c r="G203" s="272"/>
      <c r="H203" s="275"/>
      <c r="I203" s="256"/>
    </row>
    <row r="204" spans="1:9" ht="22.5" outlineLevel="1">
      <c r="A204" s="276" t="s">
        <v>114</v>
      </c>
      <c r="B204" s="277" t="s">
        <v>115</v>
      </c>
      <c r="C204" s="277" t="s">
        <v>116</v>
      </c>
      <c r="D204" s="277" t="s">
        <v>117</v>
      </c>
      <c r="E204" s="278" t="s">
        <v>118</v>
      </c>
      <c r="F204" s="279" t="s">
        <v>48</v>
      </c>
      <c r="G204" s="277"/>
      <c r="H204" s="280"/>
      <c r="I204" s="256"/>
    </row>
    <row r="205" spans="1:9" ht="12.75" outlineLevel="1">
      <c r="A205" s="281" t="s">
        <v>138</v>
      </c>
      <c r="B205" s="282"/>
      <c r="C205" s="282">
        <f>C200</f>
        <v>10000000</v>
      </c>
      <c r="D205" s="282"/>
      <c r="E205" s="284"/>
      <c r="F205" s="285"/>
      <c r="G205" s="282"/>
      <c r="H205" s="286"/>
      <c r="I205" s="256"/>
    </row>
    <row r="206" spans="1:10" ht="12.75" outlineLevel="1">
      <c r="A206" s="307">
        <v>51226</v>
      </c>
      <c r="B206" s="282">
        <f>A206-A199</f>
        <v>91</v>
      </c>
      <c r="C206" s="282">
        <f>C205-D206</f>
        <v>9750000</v>
      </c>
      <c r="D206" s="282">
        <v>250000</v>
      </c>
      <c r="E206" s="308">
        <f>$E$11+$E$12</f>
        <v>0.0585</v>
      </c>
      <c r="F206" s="285">
        <f>B206*C205*E206/I206</f>
        <v>145450.81967213115</v>
      </c>
      <c r="G206" s="282"/>
      <c r="H206" s="286"/>
      <c r="I206" s="256">
        <v>366</v>
      </c>
      <c r="J206" s="256"/>
    </row>
    <row r="207" spans="1:10" ht="12.75" outlineLevel="1">
      <c r="A207" s="307">
        <v>51317</v>
      </c>
      <c r="B207" s="282">
        <f>A207-A206</f>
        <v>91</v>
      </c>
      <c r="C207" s="282">
        <f>C206-D207</f>
        <v>9500000</v>
      </c>
      <c r="D207" s="282">
        <v>250000</v>
      </c>
      <c r="E207" s="308">
        <f>$E$11+$E$12</f>
        <v>0.0585</v>
      </c>
      <c r="F207" s="285">
        <f>B207*C206*E207/I207</f>
        <v>141814.54918032786</v>
      </c>
      <c r="G207" s="282"/>
      <c r="H207" s="286"/>
      <c r="I207" s="256">
        <v>366</v>
      </c>
      <c r="J207" s="256"/>
    </row>
    <row r="208" spans="1:10" ht="12.75" outlineLevel="1">
      <c r="A208" s="307">
        <v>51409</v>
      </c>
      <c r="B208" s="282">
        <f>A208-A207</f>
        <v>92</v>
      </c>
      <c r="C208" s="282">
        <f>C207-D208</f>
        <v>9250000</v>
      </c>
      <c r="D208" s="282">
        <v>250000</v>
      </c>
      <c r="E208" s="308">
        <f>$E$11+$E$12</f>
        <v>0.0585</v>
      </c>
      <c r="F208" s="285">
        <f>B208*C207*E208/I208</f>
        <v>139696.7213114754</v>
      </c>
      <c r="G208" s="282"/>
      <c r="H208" s="286"/>
      <c r="I208" s="256">
        <v>366</v>
      </c>
      <c r="J208" s="256"/>
    </row>
    <row r="209" spans="1:10" ht="12.75" outlineLevel="1">
      <c r="A209" s="307">
        <v>51501</v>
      </c>
      <c r="B209" s="282">
        <f>A209-A208</f>
        <v>92</v>
      </c>
      <c r="C209" s="282">
        <f>C208-D209</f>
        <v>9000000</v>
      </c>
      <c r="D209" s="282">
        <v>250000</v>
      </c>
      <c r="E209" s="308">
        <f>$E$11+$E$12</f>
        <v>0.0585</v>
      </c>
      <c r="F209" s="285">
        <f>B209*C208*E209/I209</f>
        <v>136020.49180327868</v>
      </c>
      <c r="G209" s="282"/>
      <c r="H209" s="286"/>
      <c r="I209" s="256">
        <v>366</v>
      </c>
      <c r="J209" s="256"/>
    </row>
    <row r="210" spans="1:10" ht="12.75" outlineLevel="1">
      <c r="A210" s="309"/>
      <c r="B210" s="288"/>
      <c r="C210" s="288">
        <f>C209</f>
        <v>9000000</v>
      </c>
      <c r="D210" s="288">
        <f>SUM(D205:D209)</f>
        <v>1000000</v>
      </c>
      <c r="E210" s="289"/>
      <c r="F210" s="274">
        <f>SUM(F206:F209)</f>
        <v>562982.5819672131</v>
      </c>
      <c r="G210" s="288"/>
      <c r="H210" s="290"/>
      <c r="I210" s="256"/>
      <c r="J210" s="256"/>
    </row>
    <row r="211" spans="1:10" ht="12.75" outlineLevel="1">
      <c r="A211" s="256"/>
      <c r="B211" s="255"/>
      <c r="G211" s="255"/>
      <c r="H211" s="255"/>
      <c r="I211" s="256"/>
      <c r="J211" s="256"/>
    </row>
    <row r="212" spans="1:9" ht="12.75" outlineLevel="1">
      <c r="A212" s="864" t="s">
        <v>113</v>
      </c>
      <c r="B212" s="864"/>
      <c r="C212" s="864"/>
      <c r="D212" s="864"/>
      <c r="E212" s="864"/>
      <c r="F212" s="864"/>
      <c r="G212" s="864"/>
      <c r="H212" s="864"/>
      <c r="I212" s="256"/>
    </row>
    <row r="213" spans="1:9" ht="12.75" outlineLevel="1">
      <c r="A213" s="271"/>
      <c r="B213" s="272"/>
      <c r="C213" s="272"/>
      <c r="D213" s="272"/>
      <c r="E213" s="273"/>
      <c r="F213" s="274"/>
      <c r="G213" s="272"/>
      <c r="H213" s="275"/>
      <c r="I213" s="256"/>
    </row>
    <row r="214" spans="1:9" ht="22.5" outlineLevel="1">
      <c r="A214" s="276" t="s">
        <v>114</v>
      </c>
      <c r="B214" s="277" t="s">
        <v>115</v>
      </c>
      <c r="C214" s="277" t="s">
        <v>116</v>
      </c>
      <c r="D214" s="277" t="s">
        <v>117</v>
      </c>
      <c r="E214" s="278" t="s">
        <v>118</v>
      </c>
      <c r="F214" s="279" t="s">
        <v>48</v>
      </c>
      <c r="G214" s="277"/>
      <c r="H214" s="280"/>
      <c r="I214" s="256"/>
    </row>
    <row r="215" spans="1:9" ht="12.75" outlineLevel="1">
      <c r="A215" s="281" t="s">
        <v>139</v>
      </c>
      <c r="B215" s="282"/>
      <c r="C215" s="282">
        <f>C210</f>
        <v>9000000</v>
      </c>
      <c r="D215" s="282"/>
      <c r="E215" s="284"/>
      <c r="F215" s="285"/>
      <c r="G215" s="282"/>
      <c r="H215" s="286"/>
      <c r="I215" s="256"/>
    </row>
    <row r="216" spans="1:9" ht="12.75" outlineLevel="1">
      <c r="A216" s="307">
        <v>51591</v>
      </c>
      <c r="B216" s="282">
        <v>90</v>
      </c>
      <c r="C216" s="282">
        <f>C215-D216</f>
        <v>8750000</v>
      </c>
      <c r="D216" s="282">
        <v>250000</v>
      </c>
      <c r="E216" s="308">
        <f>$E$11+$E$12</f>
        <v>0.0585</v>
      </c>
      <c r="F216" s="285">
        <f>B216*C215*E216/I216</f>
        <v>129821.91780821918</v>
      </c>
      <c r="G216" s="282"/>
      <c r="H216" s="286"/>
      <c r="I216" s="256">
        <v>365</v>
      </c>
    </row>
    <row r="217" spans="1:9" ht="12.75" outlineLevel="1">
      <c r="A217" s="307">
        <v>51682</v>
      </c>
      <c r="B217" s="282">
        <f>A217-A216</f>
        <v>91</v>
      </c>
      <c r="C217" s="282">
        <f>C216-D217</f>
        <v>8500000</v>
      </c>
      <c r="D217" s="282">
        <v>250000</v>
      </c>
      <c r="E217" s="308">
        <f>$E$11+$E$12</f>
        <v>0.0585</v>
      </c>
      <c r="F217" s="285">
        <f>B217*C216*E217/I217</f>
        <v>127618.1506849315</v>
      </c>
      <c r="G217" s="282"/>
      <c r="H217" s="286"/>
      <c r="I217" s="256">
        <v>365</v>
      </c>
    </row>
    <row r="218" spans="1:9" ht="12.75" outlineLevel="1">
      <c r="A218" s="307">
        <v>51774</v>
      </c>
      <c r="B218" s="282">
        <f>A218-A217</f>
        <v>92</v>
      </c>
      <c r="C218" s="282">
        <f>C217-D218</f>
        <v>8250000</v>
      </c>
      <c r="D218" s="282">
        <v>250000</v>
      </c>
      <c r="E218" s="308">
        <f>$E$11+$E$12</f>
        <v>0.0585</v>
      </c>
      <c r="F218" s="285">
        <f>B218*C217*E218/I218</f>
        <v>125334.24657534246</v>
      </c>
      <c r="G218" s="282"/>
      <c r="H218" s="286"/>
      <c r="I218" s="256">
        <v>365</v>
      </c>
    </row>
    <row r="219" spans="1:9" ht="12.75" outlineLevel="1">
      <c r="A219" s="307">
        <v>51866</v>
      </c>
      <c r="B219" s="282">
        <f>A219-A218</f>
        <v>92</v>
      </c>
      <c r="C219" s="282">
        <f>C218-D219</f>
        <v>8000000</v>
      </c>
      <c r="D219" s="282">
        <v>250000</v>
      </c>
      <c r="E219" s="308">
        <f>$E$11+$E$12</f>
        <v>0.0585</v>
      </c>
      <c r="F219" s="285">
        <f>B219*C218*E219/I219</f>
        <v>121647.94520547945</v>
      </c>
      <c r="G219" s="282"/>
      <c r="H219" s="286"/>
      <c r="I219" s="256">
        <v>365</v>
      </c>
    </row>
    <row r="220" spans="1:9" ht="12.75" outlineLevel="1">
      <c r="A220" s="309"/>
      <c r="B220" s="288"/>
      <c r="C220" s="288">
        <f>C219</f>
        <v>8000000</v>
      </c>
      <c r="D220" s="288">
        <f>SUM(D216:D219)</f>
        <v>1000000</v>
      </c>
      <c r="E220" s="289"/>
      <c r="F220" s="274">
        <f>SUM(F216:F219)</f>
        <v>504422.2602739726</v>
      </c>
      <c r="G220" s="288"/>
      <c r="H220" s="290"/>
      <c r="I220" s="256"/>
    </row>
    <row r="221" ht="12.75" outlineLevel="1"/>
    <row r="222" spans="1:9" ht="12.75" outlineLevel="1">
      <c r="A222" s="864" t="s">
        <v>113</v>
      </c>
      <c r="B222" s="864"/>
      <c r="C222" s="864"/>
      <c r="D222" s="864"/>
      <c r="E222" s="864"/>
      <c r="F222" s="864"/>
      <c r="G222" s="864"/>
      <c r="H222" s="864"/>
      <c r="I222" s="256"/>
    </row>
    <row r="223" spans="1:9" ht="12.75" outlineLevel="1">
      <c r="A223" s="271"/>
      <c r="B223" s="272"/>
      <c r="C223" s="272"/>
      <c r="D223" s="272"/>
      <c r="E223" s="273"/>
      <c r="F223" s="274"/>
      <c r="G223" s="272"/>
      <c r="H223" s="275"/>
      <c r="I223" s="256"/>
    </row>
    <row r="224" spans="1:9" ht="22.5" outlineLevel="1">
      <c r="A224" s="659" t="s">
        <v>114</v>
      </c>
      <c r="B224" s="660" t="s">
        <v>115</v>
      </c>
      <c r="C224" s="660" t="s">
        <v>116</v>
      </c>
      <c r="D224" s="660" t="s">
        <v>117</v>
      </c>
      <c r="E224" s="661" t="s">
        <v>118</v>
      </c>
      <c r="F224" s="662" t="s">
        <v>48</v>
      </c>
      <c r="G224" s="660"/>
      <c r="H224" s="663"/>
      <c r="I224" s="664"/>
    </row>
    <row r="225" spans="1:9" ht="12.75" outlineLevel="1">
      <c r="A225" s="665" t="s">
        <v>210</v>
      </c>
      <c r="B225" s="666"/>
      <c r="C225" s="666">
        <f>C220</f>
        <v>8000000</v>
      </c>
      <c r="D225" s="666"/>
      <c r="E225" s="667"/>
      <c r="F225" s="668"/>
      <c r="G225" s="666"/>
      <c r="H225" s="669"/>
      <c r="I225" s="664"/>
    </row>
    <row r="226" spans="1:9" ht="12.75" outlineLevel="1">
      <c r="A226" s="670">
        <v>51956</v>
      </c>
      <c r="B226" s="666">
        <f>A226-A219</f>
        <v>90</v>
      </c>
      <c r="C226" s="666">
        <f>C225-D226</f>
        <v>7750000</v>
      </c>
      <c r="D226" s="666">
        <v>250000</v>
      </c>
      <c r="E226" s="671">
        <f>$E$11+$E$12</f>
        <v>0.0585</v>
      </c>
      <c r="F226" s="668">
        <f>B226*C225*E226/I226</f>
        <v>115397.2602739726</v>
      </c>
      <c r="G226" s="666"/>
      <c r="H226" s="669"/>
      <c r="I226" s="664">
        <v>365</v>
      </c>
    </row>
    <row r="227" spans="1:9" ht="12.75" outlineLevel="1">
      <c r="A227" s="670">
        <v>52047</v>
      </c>
      <c r="B227" s="666">
        <f>A227-A226</f>
        <v>91</v>
      </c>
      <c r="C227" s="666">
        <f>C226-D227</f>
        <v>7500000</v>
      </c>
      <c r="D227" s="666">
        <v>250000</v>
      </c>
      <c r="E227" s="671">
        <f>$E$11+$E$12</f>
        <v>0.0585</v>
      </c>
      <c r="F227" s="668">
        <f>B227*C226*E227/I227</f>
        <v>113033.21917808219</v>
      </c>
      <c r="G227" s="666"/>
      <c r="H227" s="669"/>
      <c r="I227" s="664">
        <v>365</v>
      </c>
    </row>
    <row r="228" spans="1:9" ht="12.75" outlineLevel="1">
      <c r="A228" s="670">
        <v>52139</v>
      </c>
      <c r="B228" s="666">
        <f>A228-A227</f>
        <v>92</v>
      </c>
      <c r="C228" s="666">
        <f>C227-D228</f>
        <v>7250000</v>
      </c>
      <c r="D228" s="666">
        <v>250000</v>
      </c>
      <c r="E228" s="671">
        <f>$E$11+$E$12</f>
        <v>0.0585</v>
      </c>
      <c r="F228" s="668">
        <f>B228*C227*E228/I228</f>
        <v>110589.04109589041</v>
      </c>
      <c r="G228" s="666"/>
      <c r="H228" s="669"/>
      <c r="I228" s="664">
        <v>365</v>
      </c>
    </row>
    <row r="229" spans="1:9" ht="12.75" outlineLevel="1">
      <c r="A229" s="670">
        <v>52231</v>
      </c>
      <c r="B229" s="666">
        <f>A229-A228</f>
        <v>92</v>
      </c>
      <c r="C229" s="666">
        <f>C228-D229</f>
        <v>7000000</v>
      </c>
      <c r="D229" s="666">
        <v>250000</v>
      </c>
      <c r="E229" s="671">
        <f>$E$11+$E$12</f>
        <v>0.0585</v>
      </c>
      <c r="F229" s="668">
        <f>B229*C228*E229/I229</f>
        <v>106902.7397260274</v>
      </c>
      <c r="G229" s="666"/>
      <c r="H229" s="669"/>
      <c r="I229" s="664">
        <v>365</v>
      </c>
    </row>
    <row r="230" spans="1:9" ht="12.75" outlineLevel="1">
      <c r="A230" s="672"/>
      <c r="B230" s="673"/>
      <c r="C230" s="673">
        <f>C229</f>
        <v>7000000</v>
      </c>
      <c r="D230" s="673">
        <f>SUM(D226:D229)</f>
        <v>1000000</v>
      </c>
      <c r="E230" s="674"/>
      <c r="F230" s="675">
        <f>SUM(F226:F229)</f>
        <v>445922.2602739726</v>
      </c>
      <c r="G230" s="673"/>
      <c r="H230" s="676"/>
      <c r="I230" s="664"/>
    </row>
    <row r="231" spans="1:9" ht="12.75" outlineLevel="1">
      <c r="A231" s="677"/>
      <c r="B231" s="677"/>
      <c r="C231" s="677"/>
      <c r="D231" s="677"/>
      <c r="E231" s="677"/>
      <c r="F231" s="677"/>
      <c r="G231" s="677"/>
      <c r="H231" s="677"/>
      <c r="I231" s="677"/>
    </row>
    <row r="232" spans="1:9" ht="12.75" outlineLevel="1">
      <c r="A232" s="677"/>
      <c r="B232" s="677"/>
      <c r="C232" s="677"/>
      <c r="D232" s="677"/>
      <c r="E232" s="677"/>
      <c r="F232" s="677"/>
      <c r="G232" s="677"/>
      <c r="H232" s="677"/>
      <c r="I232" s="677"/>
    </row>
    <row r="234" spans="1:9" ht="22.5">
      <c r="A234" s="659" t="s">
        <v>114</v>
      </c>
      <c r="B234" s="660" t="s">
        <v>115</v>
      </c>
      <c r="C234" s="660" t="s">
        <v>116</v>
      </c>
      <c r="D234" s="660" t="s">
        <v>117</v>
      </c>
      <c r="E234" s="661" t="s">
        <v>118</v>
      </c>
      <c r="F234" s="662" t="s">
        <v>48</v>
      </c>
      <c r="G234" s="660"/>
      <c r="H234" s="663"/>
      <c r="I234" s="664"/>
    </row>
    <row r="235" spans="1:9" ht="12.75">
      <c r="A235" s="665" t="s">
        <v>222</v>
      </c>
      <c r="B235" s="666"/>
      <c r="C235" s="666">
        <f>C230</f>
        <v>7000000</v>
      </c>
      <c r="D235" s="666"/>
      <c r="E235" s="667"/>
      <c r="F235" s="668"/>
      <c r="G235" s="666"/>
      <c r="H235" s="669"/>
      <c r="I235" s="664"/>
    </row>
    <row r="236" spans="1:9" ht="12.75">
      <c r="A236" s="670">
        <v>52321</v>
      </c>
      <c r="B236" s="666">
        <f>A236-A229</f>
        <v>90</v>
      </c>
      <c r="C236" s="666">
        <f>C235-D236</f>
        <v>6500000</v>
      </c>
      <c r="D236" s="666">
        <v>500000</v>
      </c>
      <c r="E236" s="671">
        <f>$E$11+$E$12</f>
        <v>0.0585</v>
      </c>
      <c r="F236" s="668">
        <f>B236*C235*E236/I236</f>
        <v>100972.60273972603</v>
      </c>
      <c r="G236" s="666"/>
      <c r="H236" s="669"/>
      <c r="I236" s="664">
        <v>365</v>
      </c>
    </row>
    <row r="237" spans="1:9" ht="12.75">
      <c r="A237" s="670">
        <v>52412</v>
      </c>
      <c r="B237" s="666">
        <f>A237-A236</f>
        <v>91</v>
      </c>
      <c r="C237" s="666">
        <f>C236-D237</f>
        <v>6000000</v>
      </c>
      <c r="D237" s="666">
        <v>500000</v>
      </c>
      <c r="E237" s="671">
        <f>$E$11+$E$12</f>
        <v>0.0585</v>
      </c>
      <c r="F237" s="668">
        <f>B237*C236*E237/I237</f>
        <v>94802.05479452055</v>
      </c>
      <c r="G237" s="666"/>
      <c r="H237" s="669"/>
      <c r="I237" s="664">
        <v>365</v>
      </c>
    </row>
    <row r="238" spans="1:9" ht="12.75">
      <c r="A238" s="670">
        <v>52504</v>
      </c>
      <c r="B238" s="666">
        <f>A238-A237</f>
        <v>92</v>
      </c>
      <c r="C238" s="666">
        <f>C237-D238</f>
        <v>5500000</v>
      </c>
      <c r="D238" s="666">
        <v>500000</v>
      </c>
      <c r="E238" s="671">
        <f>$E$11+$E$12</f>
        <v>0.0585</v>
      </c>
      <c r="F238" s="668">
        <f>B238*C237*E238/I238</f>
        <v>88471.23287671234</v>
      </c>
      <c r="G238" s="666"/>
      <c r="H238" s="669"/>
      <c r="I238" s="664">
        <v>365</v>
      </c>
    </row>
    <row r="239" spans="1:9" ht="12.75">
      <c r="A239" s="670">
        <v>52596</v>
      </c>
      <c r="B239" s="666">
        <f>A239-A238</f>
        <v>92</v>
      </c>
      <c r="C239" s="666">
        <f>C238-D239</f>
        <v>5000000</v>
      </c>
      <c r="D239" s="666">
        <v>500000</v>
      </c>
      <c r="E239" s="671">
        <f>$E$11+$E$12</f>
        <v>0.0585</v>
      </c>
      <c r="F239" s="668">
        <f>B239*C238*E239/I239</f>
        <v>81098.6301369863</v>
      </c>
      <c r="G239" s="666"/>
      <c r="H239" s="669"/>
      <c r="I239" s="664">
        <v>365</v>
      </c>
    </row>
    <row r="240" spans="1:9" ht="12.75">
      <c r="A240" s="672"/>
      <c r="B240" s="673"/>
      <c r="C240" s="673">
        <f>C239</f>
        <v>5000000</v>
      </c>
      <c r="D240" s="673">
        <f>SUM(D236:D239)</f>
        <v>2000000</v>
      </c>
      <c r="E240" s="674"/>
      <c r="F240" s="675">
        <f>SUM(F236:F239)</f>
        <v>365344.5205479452</v>
      </c>
      <c r="G240" s="673"/>
      <c r="H240" s="676"/>
      <c r="I240" s="664"/>
    </row>
    <row r="241" spans="1:9" ht="12.75">
      <c r="A241" s="677"/>
      <c r="B241" s="677"/>
      <c r="C241" s="677"/>
      <c r="D241" s="677"/>
      <c r="E241" s="677"/>
      <c r="F241" s="677"/>
      <c r="G241" s="677"/>
      <c r="H241" s="677"/>
      <c r="I241" s="677"/>
    </row>
    <row r="242" spans="1:9" ht="12.75">
      <c r="A242" s="677"/>
      <c r="B242" s="677"/>
      <c r="C242" s="677"/>
      <c r="D242" s="677"/>
      <c r="E242" s="677"/>
      <c r="F242" s="677"/>
      <c r="G242" s="677"/>
      <c r="H242" s="677"/>
      <c r="I242" s="677"/>
    </row>
    <row r="243" spans="1:8" ht="22.5">
      <c r="A243" s="659" t="s">
        <v>114</v>
      </c>
      <c r="B243" s="660" t="s">
        <v>115</v>
      </c>
      <c r="C243" s="660" t="s">
        <v>116</v>
      </c>
      <c r="D243" s="660" t="s">
        <v>117</v>
      </c>
      <c r="E243" s="661" t="s">
        <v>118</v>
      </c>
      <c r="F243" s="662" t="s">
        <v>48</v>
      </c>
      <c r="G243" s="660"/>
      <c r="H243" s="663"/>
    </row>
    <row r="244" spans="1:8" ht="12.75">
      <c r="A244" s="665" t="s">
        <v>220</v>
      </c>
      <c r="B244" s="666"/>
      <c r="C244" s="666">
        <f>C239</f>
        <v>5000000</v>
      </c>
      <c r="D244" s="666"/>
      <c r="E244" s="667"/>
      <c r="F244" s="668"/>
      <c r="G244" s="666"/>
      <c r="H244" s="669"/>
    </row>
    <row r="245" spans="1:9" ht="12.75">
      <c r="A245" s="670">
        <v>52687</v>
      </c>
      <c r="B245" s="666">
        <f>A245-A239</f>
        <v>91</v>
      </c>
      <c r="C245" s="666">
        <f>C244-D245</f>
        <v>3750000</v>
      </c>
      <c r="D245" s="666">
        <v>1250000</v>
      </c>
      <c r="E245" s="671">
        <f>$E$11+$E$12</f>
        <v>0.0585</v>
      </c>
      <c r="F245" s="668">
        <f>B245*C244*E245/I245</f>
        <v>72725.40983606558</v>
      </c>
      <c r="G245" s="666"/>
      <c r="H245" s="669"/>
      <c r="I245">
        <v>366</v>
      </c>
    </row>
    <row r="246" spans="1:9" ht="12.75">
      <c r="A246" s="670">
        <v>52778</v>
      </c>
      <c r="B246" s="666">
        <f>A246-A245</f>
        <v>91</v>
      </c>
      <c r="C246" s="666">
        <f>C245-D246</f>
        <v>2500000</v>
      </c>
      <c r="D246" s="666">
        <v>1250000</v>
      </c>
      <c r="E246" s="671">
        <f>$E$11+$E$12</f>
        <v>0.0585</v>
      </c>
      <c r="F246" s="668">
        <f>B246*C245*E246/I246</f>
        <v>54544.05737704918</v>
      </c>
      <c r="G246" s="666"/>
      <c r="H246" s="669"/>
      <c r="I246">
        <v>366</v>
      </c>
    </row>
    <row r="247" spans="1:9" ht="12.75">
      <c r="A247" s="670">
        <v>52870</v>
      </c>
      <c r="B247" s="666">
        <f>A247-A246</f>
        <v>92</v>
      </c>
      <c r="C247" s="666">
        <f>C246-D247</f>
        <v>1250000</v>
      </c>
      <c r="D247" s="666">
        <v>1250000</v>
      </c>
      <c r="E247" s="671">
        <f>$E$11+$E$12</f>
        <v>0.0585</v>
      </c>
      <c r="F247" s="668">
        <f>B247*C246*E247/I247</f>
        <v>36762.29508196721</v>
      </c>
      <c r="G247" s="666"/>
      <c r="H247" s="669"/>
      <c r="I247">
        <v>366</v>
      </c>
    </row>
    <row r="248" spans="1:9" ht="12.75" customHeight="1">
      <c r="A248" s="670">
        <v>52962</v>
      </c>
      <c r="B248" s="666">
        <f>A248-A247</f>
        <v>92</v>
      </c>
      <c r="C248" s="666">
        <f>C247-D248</f>
        <v>0</v>
      </c>
      <c r="D248" s="666">
        <v>1250000</v>
      </c>
      <c r="E248" s="671">
        <f>$E$11+$E$12</f>
        <v>0.0585</v>
      </c>
      <c r="F248" s="668">
        <f>B248*C247*E248/I248</f>
        <v>18381.147540983606</v>
      </c>
      <c r="G248" s="666"/>
      <c r="H248" s="669"/>
      <c r="I248">
        <v>366</v>
      </c>
    </row>
    <row r="249" spans="1:11" ht="12.75">
      <c r="A249" s="672"/>
      <c r="B249" s="673"/>
      <c r="C249" s="673">
        <f>C248</f>
        <v>0</v>
      </c>
      <c r="D249" s="673">
        <f>SUM(D245:D248)</f>
        <v>5000000</v>
      </c>
      <c r="E249" s="674"/>
      <c r="F249" s="675">
        <f>SUM(F245:F248)</f>
        <v>182412.90983606558</v>
      </c>
      <c r="G249" s="673"/>
      <c r="H249" s="676"/>
      <c r="K249" s="555">
        <f>F249+F240+F230+F220+F210+F200+F190+F180+F170+F160+F150+F140+F130+F120+F110+F100+F90+F80+F70+F60</f>
        <v>18201185.21362003</v>
      </c>
    </row>
    <row r="253" spans="3:6" ht="12.75">
      <c r="C253" s="255" t="s">
        <v>140</v>
      </c>
      <c r="D253" s="255" t="s">
        <v>141</v>
      </c>
      <c r="E253" s="257"/>
      <c r="F253" s="258">
        <f>F249+F240+F230+F220+F210+F200+F190+F180+F170+F160+F150+F140+F130+F120+F110+F100+F90+F80+F70+F60</f>
        <v>18201185.21362003</v>
      </c>
    </row>
    <row r="254" spans="3:6" ht="12.75">
      <c r="C254" s="255" t="s">
        <v>142</v>
      </c>
      <c r="D254" s="255" t="s">
        <v>141</v>
      </c>
      <c r="E254" s="257"/>
      <c r="F254" s="258">
        <v>0</v>
      </c>
    </row>
    <row r="255" spans="3:6" ht="12.75">
      <c r="C255" s="255"/>
      <c r="D255" s="255"/>
      <c r="E255" s="257"/>
      <c r="F255" s="258"/>
    </row>
    <row r="256" spans="3:6" ht="12.75">
      <c r="C256" s="316" t="s">
        <v>143</v>
      </c>
      <c r="D256" s="316" t="s">
        <v>141</v>
      </c>
      <c r="E256" s="317"/>
      <c r="F256" s="318">
        <f>F253+F254</f>
        <v>18201185.21362003</v>
      </c>
    </row>
    <row r="257" spans="3:6" ht="12.75">
      <c r="C257" s="316" t="s">
        <v>143</v>
      </c>
      <c r="D257" s="316" t="s">
        <v>144</v>
      </c>
      <c r="E257" s="317"/>
      <c r="F257" s="318">
        <f>F256/4.6371</f>
        <v>3925122.4285911513</v>
      </c>
    </row>
    <row r="258" spans="3:6" ht="12.75">
      <c r="C258" s="316" t="s">
        <v>348</v>
      </c>
      <c r="D258" s="255"/>
      <c r="E258" s="257"/>
      <c r="F258" s="258"/>
    </row>
    <row r="263" spans="3:8" ht="12.75">
      <c r="C263" s="319"/>
      <c r="D263" s="320"/>
      <c r="E263" s="320"/>
      <c r="F263" s="865"/>
      <c r="G263" s="865"/>
      <c r="H263" s="865"/>
    </row>
    <row r="264" spans="3:8" ht="12.75">
      <c r="C264" s="319"/>
      <c r="D264" s="320"/>
      <c r="E264" s="320"/>
      <c r="F264" s="865"/>
      <c r="G264" s="865"/>
      <c r="H264" s="865"/>
    </row>
    <row r="265" spans="3:8" ht="12.75">
      <c r="C265" s="866"/>
      <c r="D265" s="866"/>
      <c r="E265" s="320"/>
      <c r="F265" s="865"/>
      <c r="G265" s="865"/>
      <c r="H265" s="865"/>
    </row>
    <row r="266" spans="3:8" ht="12.75">
      <c r="C266" s="867" t="s">
        <v>146</v>
      </c>
      <c r="D266" s="867"/>
      <c r="E266" s="320"/>
      <c r="F266" s="868" t="s">
        <v>147</v>
      </c>
      <c r="G266" s="868"/>
      <c r="H266" s="868"/>
    </row>
    <row r="267" spans="3:8" ht="12.75">
      <c r="C267" s="319"/>
      <c r="D267" s="320"/>
      <c r="E267" s="320"/>
      <c r="F267" s="320"/>
      <c r="G267" s="321"/>
      <c r="H267" s="322"/>
    </row>
  </sheetData>
  <sheetProtection selectLockedCells="1" selectUnlockedCells="1"/>
  <mergeCells count="36">
    <mergeCell ref="F263:H265"/>
    <mergeCell ref="C265:D265"/>
    <mergeCell ref="C266:D266"/>
    <mergeCell ref="F266:H266"/>
    <mergeCell ref="A1:B1"/>
    <mergeCell ref="A2:B2"/>
    <mergeCell ref="A3:B3"/>
    <mergeCell ref="A4:B4"/>
    <mergeCell ref="A6:B6"/>
    <mergeCell ref="A8:F8"/>
    <mergeCell ref="M14:O16"/>
    <mergeCell ref="A15:F15"/>
    <mergeCell ref="A16:F16"/>
    <mergeCell ref="A17:F17"/>
    <mergeCell ref="A18:F18"/>
    <mergeCell ref="A22:H22"/>
    <mergeCell ref="A32:H32"/>
    <mergeCell ref="A42:H42"/>
    <mergeCell ref="A52:H52"/>
    <mergeCell ref="A62:H62"/>
    <mergeCell ref="A72:H72"/>
    <mergeCell ref="A82:H82"/>
    <mergeCell ref="A92:H92"/>
    <mergeCell ref="A102:H102"/>
    <mergeCell ref="A112:H112"/>
    <mergeCell ref="A122:H122"/>
    <mergeCell ref="A132:H132"/>
    <mergeCell ref="A142:H142"/>
    <mergeCell ref="A212:H212"/>
    <mergeCell ref="A222:H222"/>
    <mergeCell ref="A152:H152"/>
    <mergeCell ref="A162:H162"/>
    <mergeCell ref="A172:H172"/>
    <mergeCell ref="A182:H182"/>
    <mergeCell ref="A192:H192"/>
    <mergeCell ref="A202:H202"/>
  </mergeCells>
  <printOptions/>
  <pageMargins left="0.7000000000000001" right="0.7000000000000001" top="0.75" bottom="0.75" header="0.5118110236220472" footer="0.5118110236220472"/>
  <pageSetup horizontalDpi="600" verticalDpi="600" orientation="portrait" paperSize="9" scale="78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="85" zoomScaleNormal="85" zoomScalePageLayoutView="0" workbookViewId="0" topLeftCell="A7">
      <selection activeCell="O38" sqref="O38"/>
    </sheetView>
  </sheetViews>
  <sheetFormatPr defaultColWidth="9.140625" defaultRowHeight="12.75" outlineLevelRow="1"/>
  <cols>
    <col min="2" max="2" width="15.00390625" style="0" customWidth="1"/>
    <col min="3" max="3" width="26.00390625" style="0" customWidth="1"/>
    <col min="4" max="4" width="13.57421875" style="0" customWidth="1"/>
    <col min="5" max="5" width="11.28125" style="0" customWidth="1"/>
    <col min="6" max="6" width="10.7109375" style="0" customWidth="1"/>
    <col min="11" max="11" width="12.7109375" style="0" bestFit="1" customWidth="1"/>
    <col min="14" max="14" width="14.8515625" style="0" customWidth="1"/>
    <col min="15" max="15" width="19.140625" style="0" customWidth="1"/>
    <col min="16" max="16" width="14.421875" style="0" customWidth="1"/>
  </cols>
  <sheetData>
    <row r="1" spans="1:10" ht="12.75" customHeight="1">
      <c r="A1" s="873" t="s">
        <v>98</v>
      </c>
      <c r="B1" s="873"/>
      <c r="C1" s="254"/>
      <c r="D1" s="254"/>
      <c r="E1" s="254"/>
      <c r="F1" s="254"/>
      <c r="G1" s="255"/>
      <c r="H1" s="255"/>
      <c r="I1" s="256"/>
      <c r="J1" s="256"/>
    </row>
    <row r="2" spans="1:10" ht="12.75">
      <c r="A2" s="874"/>
      <c r="B2" s="874"/>
      <c r="C2" s="254"/>
      <c r="D2" s="254"/>
      <c r="E2" s="254"/>
      <c r="F2" s="254"/>
      <c r="G2" s="255"/>
      <c r="H2" s="255"/>
      <c r="I2" s="256"/>
      <c r="J2" s="256"/>
    </row>
    <row r="3" spans="1:10" ht="12.75">
      <c r="A3" s="875"/>
      <c r="B3" s="875"/>
      <c r="C3" s="254"/>
      <c r="D3" s="254"/>
      <c r="E3" s="254"/>
      <c r="F3" s="254"/>
      <c r="G3" s="255"/>
      <c r="H3" s="255"/>
      <c r="I3" s="256"/>
      <c r="J3" s="256"/>
    </row>
    <row r="4" spans="1:10" ht="12.75" customHeight="1">
      <c r="A4" s="876" t="s">
        <v>99</v>
      </c>
      <c r="B4" s="876"/>
      <c r="C4" s="254"/>
      <c r="D4" s="254"/>
      <c r="E4" s="254"/>
      <c r="F4" s="254"/>
      <c r="G4" s="255"/>
      <c r="H4" s="255"/>
      <c r="I4" s="256"/>
      <c r="J4" s="256"/>
    </row>
    <row r="5" spans="1:10" ht="12.75">
      <c r="A5" s="254"/>
      <c r="B5" s="254"/>
      <c r="C5" s="254"/>
      <c r="D5" s="254"/>
      <c r="E5" s="254"/>
      <c r="F5" s="254"/>
      <c r="G5" s="255"/>
      <c r="H5" s="255"/>
      <c r="I5" s="256"/>
      <c r="J5" s="256"/>
    </row>
    <row r="6" spans="1:10" ht="12.75" customHeight="1">
      <c r="A6" s="877" t="s">
        <v>347</v>
      </c>
      <c r="B6" s="877"/>
      <c r="C6" s="254"/>
      <c r="D6" s="254"/>
      <c r="E6" s="254"/>
      <c r="F6" s="254"/>
      <c r="G6" s="255"/>
      <c r="H6" s="255"/>
      <c r="I6" s="256"/>
      <c r="J6" s="256"/>
    </row>
    <row r="7" spans="1:10" ht="12.75">
      <c r="A7" s="254"/>
      <c r="B7" s="254"/>
      <c r="C7" s="254"/>
      <c r="D7" s="254"/>
      <c r="E7" s="254"/>
      <c r="F7" s="254"/>
      <c r="G7" s="255"/>
      <c r="H7" s="255"/>
      <c r="I7" s="256"/>
      <c r="J7" s="256"/>
    </row>
    <row r="8" spans="1:10" ht="35.25" customHeight="1">
      <c r="A8" s="878" t="s">
        <v>345</v>
      </c>
      <c r="B8" s="878"/>
      <c r="C8" s="878"/>
      <c r="D8" s="878"/>
      <c r="E8" s="878"/>
      <c r="F8" s="878"/>
      <c r="G8" s="255"/>
      <c r="H8" s="255"/>
      <c r="I8" s="256"/>
      <c r="J8" s="256"/>
    </row>
    <row r="9" spans="1:10" ht="12.75">
      <c r="A9" s="256"/>
      <c r="B9" s="255"/>
      <c r="C9" s="255"/>
      <c r="D9" s="255"/>
      <c r="E9" s="257"/>
      <c r="F9" s="258"/>
      <c r="G9" s="255"/>
      <c r="H9" s="255"/>
      <c r="I9" s="256"/>
      <c r="J9" s="256"/>
    </row>
    <row r="10" spans="1:10" ht="12.75">
      <c r="A10" s="256"/>
      <c r="B10" s="255"/>
      <c r="C10" s="255"/>
      <c r="D10" s="255"/>
      <c r="E10" s="257"/>
      <c r="F10" s="258"/>
      <c r="G10" s="255"/>
      <c r="H10" s="255"/>
      <c r="I10" s="256"/>
      <c r="J10" s="256"/>
    </row>
    <row r="11" spans="1:10" ht="12.75">
      <c r="A11" s="256" t="s">
        <v>346</v>
      </c>
      <c r="B11" s="255"/>
      <c r="C11" s="255"/>
      <c r="D11" s="255"/>
      <c r="E11" s="560">
        <v>0.0585</v>
      </c>
      <c r="F11" s="258"/>
      <c r="G11" s="255"/>
      <c r="H11" s="255"/>
      <c r="I11" s="256"/>
      <c r="J11" s="256"/>
    </row>
    <row r="12" spans="1:10" ht="12.75">
      <c r="A12" s="256" t="s">
        <v>103</v>
      </c>
      <c r="B12" s="255"/>
      <c r="C12" s="255"/>
      <c r="D12" s="255"/>
      <c r="E12" s="260">
        <v>0</v>
      </c>
      <c r="F12" s="258"/>
      <c r="G12" s="255"/>
      <c r="H12" s="255"/>
      <c r="I12" s="256"/>
      <c r="J12" s="256"/>
    </row>
    <row r="13" spans="1:10" ht="13.5" thickBot="1">
      <c r="A13" s="256" t="s">
        <v>104</v>
      </c>
      <c r="B13" s="255"/>
      <c r="C13" s="255"/>
      <c r="D13" s="255"/>
      <c r="E13" s="261">
        <v>45992</v>
      </c>
      <c r="F13" s="258"/>
      <c r="G13" s="255"/>
      <c r="H13" s="255"/>
      <c r="I13" s="256"/>
      <c r="J13" s="256"/>
    </row>
    <row r="14" spans="1:15" ht="13.5" thickBot="1">
      <c r="A14" s="256"/>
      <c r="B14" s="255"/>
      <c r="C14" s="255"/>
      <c r="D14" s="255"/>
      <c r="E14" s="262"/>
      <c r="F14" s="258"/>
      <c r="G14" s="255"/>
      <c r="H14" s="255"/>
      <c r="I14" s="256"/>
      <c r="J14" s="256"/>
      <c r="M14" s="869" t="s">
        <v>349</v>
      </c>
      <c r="N14" s="869"/>
      <c r="O14" s="869"/>
    </row>
    <row r="15" spans="1:15" ht="13.5" thickBot="1">
      <c r="A15" s="870" t="s">
        <v>106</v>
      </c>
      <c r="B15" s="870"/>
      <c r="C15" s="870"/>
      <c r="D15" s="870"/>
      <c r="E15" s="870"/>
      <c r="F15" s="870"/>
      <c r="G15" s="255"/>
      <c r="H15" s="255"/>
      <c r="I15" s="256"/>
      <c r="J15" s="256"/>
      <c r="M15" s="869"/>
      <c r="N15" s="869"/>
      <c r="O15" s="869"/>
    </row>
    <row r="16" spans="1:15" ht="13.5" customHeight="1" thickBot="1">
      <c r="A16" s="871" t="s">
        <v>107</v>
      </c>
      <c r="B16" s="871"/>
      <c r="C16" s="871"/>
      <c r="D16" s="871"/>
      <c r="E16" s="871"/>
      <c r="F16" s="871"/>
      <c r="G16" s="255"/>
      <c r="H16" s="255"/>
      <c r="I16" s="256"/>
      <c r="J16" s="256"/>
      <c r="M16" s="869"/>
      <c r="N16" s="869"/>
      <c r="O16" s="869"/>
    </row>
    <row r="17" spans="1:15" ht="30" customHeight="1">
      <c r="A17" s="871" t="s">
        <v>108</v>
      </c>
      <c r="B17" s="871"/>
      <c r="C17" s="871"/>
      <c r="D17" s="871"/>
      <c r="E17" s="871"/>
      <c r="F17" s="871"/>
      <c r="G17" s="255"/>
      <c r="H17" s="255"/>
      <c r="I17" s="256"/>
      <c r="J17" s="256"/>
      <c r="M17" s="477" t="s">
        <v>109</v>
      </c>
      <c r="N17" s="478" t="s">
        <v>205</v>
      </c>
      <c r="O17" s="478" t="s">
        <v>206</v>
      </c>
    </row>
    <row r="18" spans="1:15" ht="12.75" customHeight="1">
      <c r="A18" s="872" t="s">
        <v>112</v>
      </c>
      <c r="B18" s="872"/>
      <c r="C18" s="872"/>
      <c r="D18" s="872"/>
      <c r="E18" s="872"/>
      <c r="F18" s="872"/>
      <c r="G18" s="255"/>
      <c r="H18" s="255"/>
      <c r="I18" s="256"/>
      <c r="J18" s="256"/>
      <c r="M18" s="265">
        <v>2026</v>
      </c>
      <c r="N18" s="266">
        <f>F70</f>
        <v>855422.2602739725</v>
      </c>
      <c r="O18" s="266">
        <f>D70</f>
        <v>1000000</v>
      </c>
    </row>
    <row r="19" spans="1:15" ht="12.75">
      <c r="A19" s="267"/>
      <c r="B19" s="268"/>
      <c r="C19" s="268"/>
      <c r="D19" s="268"/>
      <c r="E19" s="269"/>
      <c r="F19" s="270"/>
      <c r="G19" s="255"/>
      <c r="H19" s="255"/>
      <c r="I19" s="256"/>
      <c r="J19" s="256"/>
      <c r="M19" s="265">
        <v>2027</v>
      </c>
      <c r="N19" s="266">
        <f>F80</f>
        <v>796922.2602739725</v>
      </c>
      <c r="O19" s="266">
        <f>D80</f>
        <v>1000000</v>
      </c>
    </row>
    <row r="20" spans="1:15" ht="12.75">
      <c r="A20" s="256"/>
      <c r="B20" s="255"/>
      <c r="C20" s="255"/>
      <c r="D20" s="255"/>
      <c r="E20" s="257"/>
      <c r="F20" s="258"/>
      <c r="G20" s="255"/>
      <c r="H20" s="255"/>
      <c r="I20" s="256"/>
      <c r="J20" s="256"/>
      <c r="M20" s="265">
        <v>2028</v>
      </c>
      <c r="N20" s="266">
        <f>F90</f>
        <v>738482.5819672131</v>
      </c>
      <c r="O20" s="266">
        <f>D90</f>
        <v>1000000</v>
      </c>
    </row>
    <row r="21" spans="1:15" ht="12.75">
      <c r="A21" s="291"/>
      <c r="B21" s="282"/>
      <c r="C21" s="282"/>
      <c r="D21" s="282"/>
      <c r="E21" s="284"/>
      <c r="F21" s="285"/>
      <c r="G21" s="282"/>
      <c r="H21" s="286"/>
      <c r="I21" s="256"/>
      <c r="J21" s="256"/>
      <c r="M21" s="265">
        <v>2029</v>
      </c>
      <c r="N21" s="266">
        <f>F100</f>
        <v>679922.2602739726</v>
      </c>
      <c r="O21" s="266">
        <f>D100</f>
        <v>1000000</v>
      </c>
    </row>
    <row r="22" spans="1:15" ht="12.75" outlineLevel="1">
      <c r="A22" s="864" t="s">
        <v>113</v>
      </c>
      <c r="B22" s="864"/>
      <c r="C22" s="864"/>
      <c r="D22" s="864"/>
      <c r="E22" s="864"/>
      <c r="F22" s="864"/>
      <c r="G22" s="864"/>
      <c r="H22" s="864"/>
      <c r="I22" s="256"/>
      <c r="J22" s="256"/>
      <c r="M22" s="265">
        <v>2030</v>
      </c>
      <c r="N22" s="266">
        <f>F110</f>
        <v>621422.2602739726</v>
      </c>
      <c r="O22" s="266">
        <f>D110</f>
        <v>1000000</v>
      </c>
    </row>
    <row r="23" spans="1:15" ht="12.75" outlineLevel="1">
      <c r="A23" s="271"/>
      <c r="B23" s="272"/>
      <c r="C23" s="272"/>
      <c r="D23" s="272"/>
      <c r="E23" s="273"/>
      <c r="F23" s="274"/>
      <c r="G23" s="272"/>
      <c r="H23" s="275"/>
      <c r="I23" s="256"/>
      <c r="J23" s="256"/>
      <c r="M23" s="265">
        <v>2031</v>
      </c>
      <c r="N23" s="266">
        <f>F120</f>
        <v>562922.2602739726</v>
      </c>
      <c r="O23" s="266">
        <f>D120</f>
        <v>1000000</v>
      </c>
    </row>
    <row r="24" spans="1:15" ht="22.5" outlineLevel="1">
      <c r="A24" s="276" t="s">
        <v>114</v>
      </c>
      <c r="B24" s="277" t="s">
        <v>115</v>
      </c>
      <c r="C24" s="277" t="s">
        <v>116</v>
      </c>
      <c r="D24" s="277" t="s">
        <v>117</v>
      </c>
      <c r="E24" s="278" t="s">
        <v>118</v>
      </c>
      <c r="F24" s="279" t="s">
        <v>48</v>
      </c>
      <c r="G24" s="277"/>
      <c r="H24" s="280"/>
      <c r="I24" s="256"/>
      <c r="J24" s="256"/>
      <c r="M24" s="265">
        <v>2032</v>
      </c>
      <c r="N24" s="266">
        <f>F130</f>
        <v>504482.58196721313</v>
      </c>
      <c r="O24" s="266">
        <f>D130</f>
        <v>1000000</v>
      </c>
    </row>
    <row r="25" spans="1:15" ht="12.75" outlineLevel="1">
      <c r="A25" s="281" t="s">
        <v>121</v>
      </c>
      <c r="B25" s="282"/>
      <c r="C25" s="282"/>
      <c r="D25" s="282"/>
      <c r="E25" s="284"/>
      <c r="F25" s="285"/>
      <c r="G25" s="282"/>
      <c r="H25" s="286"/>
      <c r="I25" s="256"/>
      <c r="J25" s="256"/>
      <c r="M25" s="265">
        <v>2033</v>
      </c>
      <c r="N25" s="266">
        <f>F140</f>
        <v>445922.2602739726</v>
      </c>
      <c r="O25" s="266">
        <f>D140</f>
        <v>1000000</v>
      </c>
    </row>
    <row r="26" spans="1:15" ht="12.75" outlineLevel="1">
      <c r="A26" s="307">
        <v>44651</v>
      </c>
      <c r="B26" s="282"/>
      <c r="C26" s="282"/>
      <c r="D26" s="282"/>
      <c r="E26" s="308">
        <f>$E$11+$E$12</f>
        <v>0.0585</v>
      </c>
      <c r="F26" s="285"/>
      <c r="G26" s="282"/>
      <c r="H26" s="286"/>
      <c r="I26" s="256">
        <v>365</v>
      </c>
      <c r="J26" s="256"/>
      <c r="M26" s="265">
        <v>2034</v>
      </c>
      <c r="N26" s="266">
        <f>F150</f>
        <v>387422.26027397264</v>
      </c>
      <c r="O26" s="266">
        <f>D150</f>
        <v>1000000</v>
      </c>
    </row>
    <row r="27" spans="1:15" ht="12.75" outlineLevel="1">
      <c r="A27" s="307">
        <v>44742</v>
      </c>
      <c r="B27" s="282">
        <v>30</v>
      </c>
      <c r="C27" s="282"/>
      <c r="D27" s="282">
        <v>0</v>
      </c>
      <c r="E27" s="308">
        <f>$E$11+$E$12</f>
        <v>0.0585</v>
      </c>
      <c r="F27" s="285">
        <f>B27*C26*E27/I27</f>
        <v>0</v>
      </c>
      <c r="G27" s="282"/>
      <c r="H27" s="286"/>
      <c r="I27" s="256">
        <v>365</v>
      </c>
      <c r="J27" s="256"/>
      <c r="M27" s="265">
        <v>2035</v>
      </c>
      <c r="N27" s="266">
        <f>F160</f>
        <v>328922.2602739726</v>
      </c>
      <c r="O27" s="266">
        <f>D160</f>
        <v>1000000</v>
      </c>
    </row>
    <row r="28" spans="1:15" ht="12.75" outlineLevel="1">
      <c r="A28" s="307">
        <v>44834</v>
      </c>
      <c r="B28" s="282">
        <f>A28-A27</f>
        <v>92</v>
      </c>
      <c r="C28" s="282"/>
      <c r="D28" s="282"/>
      <c r="E28" s="308">
        <f>$E$11+$E$12</f>
        <v>0.0585</v>
      </c>
      <c r="F28" s="285">
        <f>B28*C27*E28/I28</f>
        <v>0</v>
      </c>
      <c r="G28" s="282"/>
      <c r="H28" s="286"/>
      <c r="I28" s="256">
        <v>365</v>
      </c>
      <c r="J28" s="256"/>
      <c r="M28" s="265">
        <v>2036</v>
      </c>
      <c r="N28" s="266">
        <f>F170</f>
        <v>270482.58196721313</v>
      </c>
      <c r="O28" s="266">
        <f>D170</f>
        <v>1000000</v>
      </c>
    </row>
    <row r="29" spans="1:15" ht="12.75" outlineLevel="1">
      <c r="A29" s="307">
        <v>44926</v>
      </c>
      <c r="B29" s="282">
        <f>A29-A28</f>
        <v>92</v>
      </c>
      <c r="C29" s="282"/>
      <c r="D29" s="282"/>
      <c r="E29" s="308">
        <f>$E$11+$E$12</f>
        <v>0.0585</v>
      </c>
      <c r="F29" s="285">
        <f>B29*C28*E29/I29</f>
        <v>0</v>
      </c>
      <c r="G29" s="282"/>
      <c r="H29" s="286"/>
      <c r="I29" s="256">
        <v>365</v>
      </c>
      <c r="J29" s="256"/>
      <c r="M29" s="265">
        <v>2037</v>
      </c>
      <c r="N29" s="266">
        <f>F180</f>
        <v>211922.2602739726</v>
      </c>
      <c r="O29" s="266">
        <f>D180</f>
        <v>1000000</v>
      </c>
    </row>
    <row r="30" spans="1:15" ht="12.75" outlineLevel="1">
      <c r="A30" s="309"/>
      <c r="B30" s="288"/>
      <c r="C30" s="288">
        <f>C29</f>
        <v>0</v>
      </c>
      <c r="D30" s="288">
        <f>SUM(D26:D29)</f>
        <v>0</v>
      </c>
      <c r="E30" s="289"/>
      <c r="F30" s="274">
        <f>SUM(F27:F29)</f>
        <v>0</v>
      </c>
      <c r="G30" s="288"/>
      <c r="H30" s="290"/>
      <c r="I30" s="256"/>
      <c r="J30" s="256"/>
      <c r="M30" s="265">
        <v>2038</v>
      </c>
      <c r="N30" s="266">
        <f>F190</f>
        <v>153422.2602739726</v>
      </c>
      <c r="O30" s="266">
        <f>D190</f>
        <v>1000000</v>
      </c>
    </row>
    <row r="31" spans="1:15" ht="12.75" outlineLevel="1">
      <c r="A31" s="291"/>
      <c r="B31" s="282"/>
      <c r="C31" s="282"/>
      <c r="D31" s="282"/>
      <c r="E31" s="284"/>
      <c r="F31" s="285"/>
      <c r="G31" s="282"/>
      <c r="H31" s="286"/>
      <c r="I31" s="256"/>
      <c r="J31" s="256"/>
      <c r="M31" s="265">
        <v>2039</v>
      </c>
      <c r="N31" s="266">
        <f>F200</f>
        <v>94922.26027397261</v>
      </c>
      <c r="O31" s="266">
        <f>D200</f>
        <v>1000000</v>
      </c>
    </row>
    <row r="32" spans="1:15" ht="12.75" outlineLevel="1">
      <c r="A32" s="864" t="s">
        <v>113</v>
      </c>
      <c r="B32" s="864"/>
      <c r="C32" s="864"/>
      <c r="D32" s="864"/>
      <c r="E32" s="864"/>
      <c r="F32" s="864"/>
      <c r="G32" s="864"/>
      <c r="H32" s="864"/>
      <c r="I32" s="256"/>
      <c r="J32" s="256"/>
      <c r="M32" s="265">
        <v>2040</v>
      </c>
      <c r="N32" s="266">
        <f>F210</f>
        <v>36482.58196721312</v>
      </c>
      <c r="O32" s="266">
        <f>D210</f>
        <v>1000000</v>
      </c>
    </row>
    <row r="33" spans="1:15" ht="12.75" outlineLevel="1">
      <c r="A33" s="271"/>
      <c r="B33" s="272"/>
      <c r="C33" s="272"/>
      <c r="D33" s="272"/>
      <c r="E33" s="273"/>
      <c r="F33" s="274"/>
      <c r="G33" s="272"/>
      <c r="H33" s="275"/>
      <c r="I33" s="256"/>
      <c r="J33" s="256"/>
      <c r="M33" s="265" t="s">
        <v>42</v>
      </c>
      <c r="N33" s="306">
        <f>SUM(N18:N32)</f>
        <v>6689075.190882551</v>
      </c>
      <c r="O33" s="306">
        <f>SUM(O18:O32)</f>
        <v>15000000</v>
      </c>
    </row>
    <row r="34" spans="1:10" ht="22.5" outlineLevel="1">
      <c r="A34" s="276" t="s">
        <v>114</v>
      </c>
      <c r="B34" s="277" t="s">
        <v>115</v>
      </c>
      <c r="C34" s="277" t="s">
        <v>116</v>
      </c>
      <c r="D34" s="277" t="s">
        <v>117</v>
      </c>
      <c r="E34" s="278" t="s">
        <v>118</v>
      </c>
      <c r="F34" s="279" t="s">
        <v>48</v>
      </c>
      <c r="G34" s="277"/>
      <c r="H34" s="280"/>
      <c r="I34" s="256"/>
      <c r="J34" s="256"/>
    </row>
    <row r="35" spans="1:10" ht="12.75" outlineLevel="1">
      <c r="A35" s="281" t="s">
        <v>122</v>
      </c>
      <c r="B35" s="282"/>
      <c r="C35" s="282">
        <f>C30</f>
        <v>0</v>
      </c>
      <c r="D35" s="282"/>
      <c r="E35" s="284"/>
      <c r="F35" s="285"/>
      <c r="G35" s="282"/>
      <c r="H35" s="286"/>
      <c r="I35" s="256"/>
      <c r="J35" s="256"/>
    </row>
    <row r="36" spans="1:14" ht="12.75" outlineLevel="1">
      <c r="A36" s="307">
        <v>45016</v>
      </c>
      <c r="B36" s="282">
        <f>A36-A29</f>
        <v>90</v>
      </c>
      <c r="C36" s="282">
        <f>C35-D36</f>
        <v>0</v>
      </c>
      <c r="D36" s="282"/>
      <c r="E36" s="308">
        <f>$E$11+$E$12</f>
        <v>0.0585</v>
      </c>
      <c r="F36" s="285">
        <f>B36*C35*E36/I36</f>
        <v>0</v>
      </c>
      <c r="G36" s="282"/>
      <c r="H36" s="286"/>
      <c r="I36" s="256">
        <v>365</v>
      </c>
      <c r="J36" s="256"/>
      <c r="N36" s="555">
        <f>N33-K249</f>
        <v>0</v>
      </c>
    </row>
    <row r="37" spans="1:10" ht="12.75" outlineLevel="1">
      <c r="A37" s="307">
        <v>45107</v>
      </c>
      <c r="B37" s="282">
        <f>A37-A36</f>
        <v>91</v>
      </c>
      <c r="C37" s="282">
        <f>C36-D37</f>
        <v>0</v>
      </c>
      <c r="D37" s="282"/>
      <c r="E37" s="308">
        <f>$E$11+$E$12</f>
        <v>0.0585</v>
      </c>
      <c r="F37" s="285">
        <f>B37*C36*E37/I37</f>
        <v>0</v>
      </c>
      <c r="G37" s="282"/>
      <c r="H37" s="286"/>
      <c r="I37" s="256">
        <v>365</v>
      </c>
      <c r="J37" s="256"/>
    </row>
    <row r="38" spans="1:10" ht="12.75" outlineLevel="1">
      <c r="A38" s="307">
        <v>45199</v>
      </c>
      <c r="B38" s="282">
        <f>A38-A37</f>
        <v>92</v>
      </c>
      <c r="C38" s="282">
        <f>C37-D38</f>
        <v>0</v>
      </c>
      <c r="D38" s="282"/>
      <c r="E38" s="308">
        <f>$E$11+$E$12</f>
        <v>0.0585</v>
      </c>
      <c r="F38" s="285">
        <f>B38*C37*E38/I38</f>
        <v>0</v>
      </c>
      <c r="G38" s="282"/>
      <c r="H38" s="286"/>
      <c r="I38" s="256">
        <v>365</v>
      </c>
      <c r="J38" s="256"/>
    </row>
    <row r="39" spans="1:10" ht="12.75" outlineLevel="1">
      <c r="A39" s="307">
        <v>45291</v>
      </c>
      <c r="B39" s="282">
        <f>A39-A38</f>
        <v>92</v>
      </c>
      <c r="C39" s="282">
        <v>0</v>
      </c>
      <c r="D39" s="282"/>
      <c r="E39" s="308">
        <f>$E$11+$E$12</f>
        <v>0.0585</v>
      </c>
      <c r="F39" s="285">
        <f>B39*C38*E39/I39</f>
        <v>0</v>
      </c>
      <c r="G39" s="282"/>
      <c r="H39" s="286"/>
      <c r="I39" s="256">
        <v>365</v>
      </c>
      <c r="J39" s="256"/>
    </row>
    <row r="40" spans="1:10" ht="12.75" outlineLevel="1">
      <c r="A40" s="309"/>
      <c r="B40" s="288"/>
      <c r="C40" s="288">
        <f>C39</f>
        <v>0</v>
      </c>
      <c r="D40" s="288">
        <f>SUM(D36:D39)</f>
        <v>0</v>
      </c>
      <c r="E40" s="289"/>
      <c r="F40" s="274">
        <f>SUM(F36:F39)</f>
        <v>0</v>
      </c>
      <c r="G40" s="288"/>
      <c r="H40" s="290"/>
      <c r="I40" s="256"/>
      <c r="J40" s="256"/>
    </row>
    <row r="41" spans="1:10" ht="12.75" outlineLevel="1">
      <c r="A41" s="291"/>
      <c r="B41" s="282"/>
      <c r="C41" s="282"/>
      <c r="D41" s="282"/>
      <c r="E41" s="284"/>
      <c r="F41" s="285"/>
      <c r="G41" s="282"/>
      <c r="H41" s="286"/>
      <c r="I41" s="256"/>
      <c r="J41" s="256"/>
    </row>
    <row r="42" spans="1:10" ht="12.75" outlineLevel="1">
      <c r="A42" s="864" t="s">
        <v>113</v>
      </c>
      <c r="B42" s="864"/>
      <c r="C42" s="864"/>
      <c r="D42" s="864"/>
      <c r="E42" s="864"/>
      <c r="F42" s="864"/>
      <c r="G42" s="864"/>
      <c r="H42" s="864"/>
      <c r="I42" s="256"/>
      <c r="J42" s="256"/>
    </row>
    <row r="43" spans="1:10" ht="12.75" outlineLevel="1">
      <c r="A43" s="271"/>
      <c r="B43" s="272"/>
      <c r="C43" s="272"/>
      <c r="D43" s="272"/>
      <c r="E43" s="273"/>
      <c r="F43" s="274"/>
      <c r="G43" s="272"/>
      <c r="H43" s="275"/>
      <c r="I43" s="256"/>
      <c r="J43" s="256"/>
    </row>
    <row r="44" spans="1:10" ht="22.5" outlineLevel="1">
      <c r="A44" s="276" t="s">
        <v>114</v>
      </c>
      <c r="B44" s="277" t="s">
        <v>115</v>
      </c>
      <c r="C44" s="277" t="s">
        <v>116</v>
      </c>
      <c r="D44" s="277" t="s">
        <v>117</v>
      </c>
      <c r="E44" s="278" t="s">
        <v>118</v>
      </c>
      <c r="F44" s="279" t="s">
        <v>48</v>
      </c>
      <c r="G44" s="277"/>
      <c r="H44" s="280"/>
      <c r="I44" s="256"/>
      <c r="J44" s="256"/>
    </row>
    <row r="45" spans="1:10" ht="12.75" outlineLevel="1">
      <c r="A45" s="281" t="s">
        <v>123</v>
      </c>
      <c r="B45" s="282"/>
      <c r="C45" s="282">
        <f>C40</f>
        <v>0</v>
      </c>
      <c r="D45" s="282"/>
      <c r="E45" s="284"/>
      <c r="F45" s="285"/>
      <c r="G45" s="282"/>
      <c r="H45" s="286"/>
      <c r="I45" s="256"/>
      <c r="J45" s="256"/>
    </row>
    <row r="46" spans="1:10" ht="12.75" outlineLevel="1">
      <c r="A46" s="307">
        <v>45382</v>
      </c>
      <c r="B46" s="282">
        <f>A46-A39</f>
        <v>91</v>
      </c>
      <c r="C46" s="282">
        <f>C45-D46</f>
        <v>0</v>
      </c>
      <c r="D46" s="282"/>
      <c r="E46" s="308">
        <f>$E$11+$E$12</f>
        <v>0.0585</v>
      </c>
      <c r="F46" s="285">
        <f>B46*C45*E46/I46</f>
        <v>0</v>
      </c>
      <c r="G46" s="282"/>
      <c r="H46" s="286"/>
      <c r="I46" s="256">
        <v>366</v>
      </c>
      <c r="J46" s="256"/>
    </row>
    <row r="47" spans="1:10" ht="12.75" outlineLevel="1">
      <c r="A47" s="307">
        <v>45473</v>
      </c>
      <c r="B47" s="282">
        <f>A47-A46</f>
        <v>91</v>
      </c>
      <c r="C47" s="282">
        <f>C46-D47</f>
        <v>0</v>
      </c>
      <c r="D47" s="282"/>
      <c r="E47" s="308">
        <f>$E$11+$E$12</f>
        <v>0.0585</v>
      </c>
      <c r="F47" s="285">
        <f>B47*C46*E47/I47</f>
        <v>0</v>
      </c>
      <c r="G47" s="282"/>
      <c r="H47" s="286"/>
      <c r="I47" s="256">
        <v>366</v>
      </c>
      <c r="J47" s="256"/>
    </row>
    <row r="48" spans="1:10" ht="12.75" outlineLevel="1">
      <c r="A48" s="307">
        <v>45565</v>
      </c>
      <c r="B48" s="282">
        <f>A48-A47</f>
        <v>92</v>
      </c>
      <c r="C48" s="282">
        <f>C47-D48</f>
        <v>0</v>
      </c>
      <c r="D48" s="282"/>
      <c r="E48" s="308">
        <f>$E$11+$E$12</f>
        <v>0.0585</v>
      </c>
      <c r="F48" s="285">
        <f>B48*C47*E48/I48</f>
        <v>0</v>
      </c>
      <c r="G48" s="282"/>
      <c r="H48" s="286"/>
      <c r="I48" s="256">
        <v>366</v>
      </c>
      <c r="J48" s="256"/>
    </row>
    <row r="49" spans="1:10" ht="12.75" outlineLevel="1">
      <c r="A49" s="307">
        <v>45657</v>
      </c>
      <c r="B49" s="282">
        <f>A49-A48</f>
        <v>92</v>
      </c>
      <c r="C49" s="282">
        <v>0</v>
      </c>
      <c r="D49" s="282"/>
      <c r="E49" s="308">
        <f>$E$11+$E$12</f>
        <v>0.0585</v>
      </c>
      <c r="F49" s="285">
        <f>B49*C48*E49/I49</f>
        <v>0</v>
      </c>
      <c r="G49" s="282"/>
      <c r="H49" s="286"/>
      <c r="I49" s="256">
        <v>366</v>
      </c>
      <c r="J49" s="256"/>
    </row>
    <row r="50" spans="1:10" ht="12.75" outlineLevel="1">
      <c r="A50" s="309"/>
      <c r="B50" s="288"/>
      <c r="C50" s="288">
        <f>C49</f>
        <v>0</v>
      </c>
      <c r="D50" s="288">
        <f>SUM(D46:D49)</f>
        <v>0</v>
      </c>
      <c r="E50" s="289"/>
      <c r="F50" s="274">
        <f>SUM(F46:F49)</f>
        <v>0</v>
      </c>
      <c r="G50" s="288"/>
      <c r="H50" s="290"/>
      <c r="I50" s="256"/>
      <c r="J50" s="256"/>
    </row>
    <row r="51" spans="1:10" ht="12.75" outlineLevel="1">
      <c r="A51" s="291"/>
      <c r="B51" s="282"/>
      <c r="C51" s="282"/>
      <c r="D51" s="282"/>
      <c r="E51" s="284"/>
      <c r="F51" s="285"/>
      <c r="G51" s="282"/>
      <c r="H51" s="282"/>
      <c r="I51" s="256"/>
      <c r="J51" s="256"/>
    </row>
    <row r="52" spans="1:10" ht="12.75" outlineLevel="1">
      <c r="A52" s="864" t="s">
        <v>113</v>
      </c>
      <c r="B52" s="864"/>
      <c r="C52" s="864"/>
      <c r="D52" s="864"/>
      <c r="E52" s="864"/>
      <c r="F52" s="864"/>
      <c r="G52" s="864"/>
      <c r="H52" s="864"/>
      <c r="I52" s="256"/>
      <c r="J52" s="256"/>
    </row>
    <row r="53" spans="1:10" ht="12.75" outlineLevel="1">
      <c r="A53" s="271"/>
      <c r="B53" s="272"/>
      <c r="C53" s="272"/>
      <c r="D53" s="272"/>
      <c r="E53" s="273"/>
      <c r="F53" s="274"/>
      <c r="G53" s="272"/>
      <c r="H53" s="275"/>
      <c r="I53" s="256"/>
      <c r="J53" s="256"/>
    </row>
    <row r="54" spans="1:10" ht="22.5" outlineLevel="1">
      <c r="A54" s="276" t="s">
        <v>114</v>
      </c>
      <c r="B54" s="277" t="s">
        <v>115</v>
      </c>
      <c r="C54" s="277" t="s">
        <v>116</v>
      </c>
      <c r="D54" s="277" t="s">
        <v>117</v>
      </c>
      <c r="E54" s="278" t="s">
        <v>118</v>
      </c>
      <c r="F54" s="279" t="s">
        <v>48</v>
      </c>
      <c r="G54" s="277"/>
      <c r="H54" s="280"/>
      <c r="I54" s="256"/>
      <c r="J54" s="256"/>
    </row>
    <row r="55" spans="1:10" ht="12.75" outlineLevel="1">
      <c r="A55" s="281" t="s">
        <v>207</v>
      </c>
      <c r="B55" s="282"/>
      <c r="C55" s="282">
        <f>C50</f>
        <v>0</v>
      </c>
      <c r="D55" s="282"/>
      <c r="E55" s="284"/>
      <c r="F55" s="285"/>
      <c r="G55" s="282"/>
      <c r="H55" s="286"/>
      <c r="I55" s="256"/>
      <c r="J55" s="256"/>
    </row>
    <row r="56" spans="1:10" ht="12.75" outlineLevel="1">
      <c r="A56" s="307">
        <v>45747</v>
      </c>
      <c r="B56" s="282">
        <v>90</v>
      </c>
      <c r="C56" s="282">
        <f>C55-D56</f>
        <v>0</v>
      </c>
      <c r="D56" s="282">
        <v>0</v>
      </c>
      <c r="E56" s="308">
        <f>$E$11+$E$12</f>
        <v>0.0585</v>
      </c>
      <c r="F56" s="285">
        <f>B56*C55*E56/I56</f>
        <v>0</v>
      </c>
      <c r="G56" s="282"/>
      <c r="H56" s="286"/>
      <c r="I56" s="256">
        <v>365</v>
      </c>
      <c r="J56" s="256"/>
    </row>
    <row r="57" spans="1:10" ht="12.75" outlineLevel="1">
      <c r="A57" s="307">
        <v>45838</v>
      </c>
      <c r="B57" s="282">
        <f>A57-A56</f>
        <v>91</v>
      </c>
      <c r="C57" s="282">
        <f>C56-D57</f>
        <v>0</v>
      </c>
      <c r="D57" s="282">
        <v>0</v>
      </c>
      <c r="E57" s="308">
        <f>$E$11+$E$12</f>
        <v>0.0585</v>
      </c>
      <c r="F57" s="285">
        <f>B57*C56*E57/I57</f>
        <v>0</v>
      </c>
      <c r="G57" s="282"/>
      <c r="H57" s="286"/>
      <c r="I57" s="256">
        <v>365</v>
      </c>
      <c r="J57" s="256"/>
    </row>
    <row r="58" spans="1:10" ht="12.75" outlineLevel="1">
      <c r="A58" s="307">
        <v>45930</v>
      </c>
      <c r="B58" s="282">
        <f>A58-A57</f>
        <v>92</v>
      </c>
      <c r="C58" s="282">
        <f>C57-D58</f>
        <v>0</v>
      </c>
      <c r="D58" s="282">
        <v>0</v>
      </c>
      <c r="E58" s="308">
        <f>$E$11+$E$12</f>
        <v>0.0585</v>
      </c>
      <c r="F58" s="285">
        <f>B58*C57*E58/I58</f>
        <v>0</v>
      </c>
      <c r="G58" s="282"/>
      <c r="H58" s="286"/>
      <c r="I58" s="256">
        <v>365</v>
      </c>
      <c r="J58" s="256"/>
    </row>
    <row r="59" spans="1:10" ht="12.75" outlineLevel="1">
      <c r="A59" s="307">
        <v>46022</v>
      </c>
      <c r="B59" s="282">
        <f>A59-A58</f>
        <v>92</v>
      </c>
      <c r="C59" s="282">
        <v>15000000</v>
      </c>
      <c r="D59" s="282">
        <v>0</v>
      </c>
      <c r="E59" s="308">
        <f>$E$11+$E$12</f>
        <v>0.0585</v>
      </c>
      <c r="F59" s="285">
        <f>B59*C58*E59/I59</f>
        <v>0</v>
      </c>
      <c r="G59" s="282"/>
      <c r="H59" s="286"/>
      <c r="I59" s="256">
        <v>365</v>
      </c>
      <c r="J59" s="256"/>
    </row>
    <row r="60" spans="1:10" ht="12.75" outlineLevel="1">
      <c r="A60" s="309"/>
      <c r="B60" s="288"/>
      <c r="C60" s="288">
        <f>C59</f>
        <v>15000000</v>
      </c>
      <c r="D60" s="288">
        <f>SUM(D56:D59)</f>
        <v>0</v>
      </c>
      <c r="E60" s="289"/>
      <c r="F60" s="274">
        <f>SUM(F56:F59)</f>
        <v>0</v>
      </c>
      <c r="G60" s="288"/>
      <c r="H60" s="290"/>
      <c r="I60" s="256"/>
      <c r="J60" s="256"/>
    </row>
    <row r="61" spans="1:10" ht="12.75" outlineLevel="1">
      <c r="A61" s="291"/>
      <c r="B61" s="282"/>
      <c r="C61" s="282"/>
      <c r="D61" s="282"/>
      <c r="E61" s="284"/>
      <c r="F61" s="285"/>
      <c r="G61" s="282"/>
      <c r="H61" s="282"/>
      <c r="I61" s="256"/>
      <c r="J61" s="256"/>
    </row>
    <row r="62" spans="1:10" ht="12.75" outlineLevel="1">
      <c r="A62" s="864" t="s">
        <v>113</v>
      </c>
      <c r="B62" s="864"/>
      <c r="C62" s="864"/>
      <c r="D62" s="864"/>
      <c r="E62" s="864"/>
      <c r="F62" s="864"/>
      <c r="G62" s="864"/>
      <c r="H62" s="864"/>
      <c r="I62" s="256"/>
      <c r="J62" s="256"/>
    </row>
    <row r="63" spans="1:10" ht="12.75" outlineLevel="1">
      <c r="A63" s="271"/>
      <c r="B63" s="272"/>
      <c r="C63" s="272"/>
      <c r="D63" s="272"/>
      <c r="E63" s="273"/>
      <c r="F63" s="274"/>
      <c r="G63" s="272"/>
      <c r="H63" s="275"/>
      <c r="I63" s="256"/>
      <c r="J63" s="256"/>
    </row>
    <row r="64" spans="1:10" ht="22.5" outlineLevel="1">
      <c r="A64" s="276" t="s">
        <v>114</v>
      </c>
      <c r="B64" s="277" t="s">
        <v>115</v>
      </c>
      <c r="C64" s="277" t="s">
        <v>116</v>
      </c>
      <c r="D64" s="277" t="s">
        <v>117</v>
      </c>
      <c r="E64" s="278" t="s">
        <v>118</v>
      </c>
      <c r="F64" s="279" t="s">
        <v>48</v>
      </c>
      <c r="G64" s="277"/>
      <c r="H64" s="280"/>
      <c r="I64" s="256"/>
      <c r="J64" s="256"/>
    </row>
    <row r="65" spans="1:10" ht="12.75" outlineLevel="1">
      <c r="A65" s="281" t="s">
        <v>125</v>
      </c>
      <c r="B65" s="282"/>
      <c r="C65" s="282">
        <f>C60</f>
        <v>15000000</v>
      </c>
      <c r="D65" s="282"/>
      <c r="E65" s="284"/>
      <c r="F65" s="285"/>
      <c r="G65" s="282"/>
      <c r="H65" s="286"/>
      <c r="I65" s="256"/>
      <c r="J65" s="256"/>
    </row>
    <row r="66" spans="1:10" ht="12.75" outlineLevel="1">
      <c r="A66" s="307">
        <v>46112</v>
      </c>
      <c r="B66" s="282">
        <f>A66-A59</f>
        <v>90</v>
      </c>
      <c r="C66" s="282">
        <f>C65-D66</f>
        <v>14750000</v>
      </c>
      <c r="D66" s="282">
        <v>250000</v>
      </c>
      <c r="E66" s="308">
        <f>$E$11+$E$12</f>
        <v>0.0585</v>
      </c>
      <c r="F66" s="285">
        <f>B66*C65*E66/I66</f>
        <v>216369.86301369863</v>
      </c>
      <c r="G66" s="282"/>
      <c r="H66" s="286"/>
      <c r="I66" s="256">
        <v>365</v>
      </c>
      <c r="J66" s="256"/>
    </row>
    <row r="67" spans="1:10" ht="12.75" outlineLevel="1">
      <c r="A67" s="307">
        <v>46203</v>
      </c>
      <c r="B67" s="282">
        <f>A67-A66</f>
        <v>91</v>
      </c>
      <c r="C67" s="282">
        <f>C66-D67</f>
        <v>14500000</v>
      </c>
      <c r="D67" s="282">
        <v>250000</v>
      </c>
      <c r="E67" s="308">
        <f>$E$11+$E$12</f>
        <v>0.0585</v>
      </c>
      <c r="F67" s="285">
        <f>B67*C66*E67/I67</f>
        <v>215127.7397260274</v>
      </c>
      <c r="G67" s="282"/>
      <c r="H67" s="286"/>
      <c r="I67" s="256">
        <v>365</v>
      </c>
      <c r="J67" s="256"/>
    </row>
    <row r="68" spans="1:10" ht="12.75" outlineLevel="1">
      <c r="A68" s="307">
        <v>46295</v>
      </c>
      <c r="B68" s="282">
        <f>A68-A67</f>
        <v>92</v>
      </c>
      <c r="C68" s="282">
        <f>C67-D68</f>
        <v>14250000</v>
      </c>
      <c r="D68" s="282">
        <v>250000</v>
      </c>
      <c r="E68" s="308">
        <f>$E$11+$E$12</f>
        <v>0.0585</v>
      </c>
      <c r="F68" s="285">
        <f>B68*C67*E68/I68</f>
        <v>213805.4794520548</v>
      </c>
      <c r="G68" s="282"/>
      <c r="H68" s="286"/>
      <c r="I68" s="256">
        <v>365</v>
      </c>
      <c r="J68" s="256"/>
    </row>
    <row r="69" spans="1:10" ht="12.75" outlineLevel="1">
      <c r="A69" s="307">
        <v>46387</v>
      </c>
      <c r="B69" s="282">
        <f>A69-A68</f>
        <v>92</v>
      </c>
      <c r="C69" s="282">
        <f>C68-D69</f>
        <v>14000000</v>
      </c>
      <c r="D69" s="282">
        <v>250000</v>
      </c>
      <c r="E69" s="308">
        <f>$E$11+$E$12</f>
        <v>0.0585</v>
      </c>
      <c r="F69" s="285">
        <f>B69*C68*E69/I69</f>
        <v>210119.1780821918</v>
      </c>
      <c r="G69" s="282"/>
      <c r="H69" s="286"/>
      <c r="I69" s="256">
        <v>365</v>
      </c>
      <c r="J69" s="256"/>
    </row>
    <row r="70" spans="1:10" ht="12.75" outlineLevel="1">
      <c r="A70" s="309"/>
      <c r="B70" s="288"/>
      <c r="C70" s="288">
        <f>C69</f>
        <v>14000000</v>
      </c>
      <c r="D70" s="288">
        <f>SUM(D66:D69)</f>
        <v>1000000</v>
      </c>
      <c r="E70" s="289"/>
      <c r="F70" s="274">
        <f>SUM(F66:F69)</f>
        <v>855422.2602739725</v>
      </c>
      <c r="G70" s="288"/>
      <c r="H70" s="290"/>
      <c r="I70" s="256"/>
      <c r="J70" s="256"/>
    </row>
    <row r="71" spans="1:10" ht="12.75" outlineLevel="1">
      <c r="A71" s="291"/>
      <c r="B71" s="282"/>
      <c r="C71" s="282"/>
      <c r="D71" s="282"/>
      <c r="E71" s="284"/>
      <c r="F71" s="285"/>
      <c r="G71" s="282"/>
      <c r="H71" s="282"/>
      <c r="I71" s="256"/>
      <c r="J71" s="256"/>
    </row>
    <row r="72" spans="1:10" ht="12.75" outlineLevel="1">
      <c r="A72" s="864" t="s">
        <v>113</v>
      </c>
      <c r="B72" s="864"/>
      <c r="C72" s="864"/>
      <c r="D72" s="864"/>
      <c r="E72" s="864"/>
      <c r="F72" s="864"/>
      <c r="G72" s="864"/>
      <c r="H72" s="864"/>
      <c r="I72" s="256"/>
      <c r="J72" s="256"/>
    </row>
    <row r="73" spans="1:10" ht="12.75" outlineLevel="1">
      <c r="A73" s="271"/>
      <c r="B73" s="272"/>
      <c r="C73" s="272"/>
      <c r="D73" s="272"/>
      <c r="E73" s="273"/>
      <c r="F73" s="274"/>
      <c r="G73" s="272"/>
      <c r="H73" s="275"/>
      <c r="I73" s="256"/>
      <c r="J73" s="256"/>
    </row>
    <row r="74" spans="1:10" ht="22.5" outlineLevel="1">
      <c r="A74" s="276" t="s">
        <v>114</v>
      </c>
      <c r="B74" s="277" t="s">
        <v>115</v>
      </c>
      <c r="C74" s="277" t="s">
        <v>116</v>
      </c>
      <c r="D74" s="277" t="s">
        <v>117</v>
      </c>
      <c r="E74" s="278" t="s">
        <v>118</v>
      </c>
      <c r="F74" s="279" t="s">
        <v>48</v>
      </c>
      <c r="G74" s="277"/>
      <c r="H74" s="280"/>
      <c r="I74" s="256"/>
      <c r="J74" s="256"/>
    </row>
    <row r="75" spans="1:10" ht="12.75" outlineLevel="1">
      <c r="A75" s="281" t="s">
        <v>126</v>
      </c>
      <c r="B75" s="282"/>
      <c r="C75" s="282">
        <f>C70</f>
        <v>14000000</v>
      </c>
      <c r="D75" s="282"/>
      <c r="E75" s="284"/>
      <c r="F75" s="285"/>
      <c r="G75" s="282"/>
      <c r="H75" s="286"/>
      <c r="I75" s="256"/>
      <c r="J75" s="256"/>
    </row>
    <row r="76" spans="1:10" ht="12.75" outlineLevel="1">
      <c r="A76" s="307">
        <v>46477</v>
      </c>
      <c r="B76" s="282">
        <f>A76-A69</f>
        <v>90</v>
      </c>
      <c r="C76" s="282">
        <f>C75-D76</f>
        <v>13750000</v>
      </c>
      <c r="D76" s="282">
        <v>250000</v>
      </c>
      <c r="E76" s="308">
        <f>$E$11+$E$12</f>
        <v>0.0585</v>
      </c>
      <c r="F76" s="285">
        <f>B76*C75*E76/I76</f>
        <v>201945.20547945207</v>
      </c>
      <c r="G76" s="282"/>
      <c r="H76" s="286"/>
      <c r="I76" s="256">
        <v>365</v>
      </c>
      <c r="J76" s="256"/>
    </row>
    <row r="77" spans="1:10" ht="12.75" outlineLevel="1">
      <c r="A77" s="307">
        <v>46568</v>
      </c>
      <c r="B77" s="282">
        <f>A77-A76</f>
        <v>91</v>
      </c>
      <c r="C77" s="282">
        <f>C76-D77</f>
        <v>13500000</v>
      </c>
      <c r="D77" s="282">
        <v>250000</v>
      </c>
      <c r="E77" s="308">
        <f>$E$11+$E$12</f>
        <v>0.0585</v>
      </c>
      <c r="F77" s="285">
        <f>B77*C76*E77/I77</f>
        <v>200542.80821917808</v>
      </c>
      <c r="G77" s="282"/>
      <c r="H77" s="286"/>
      <c r="I77" s="256">
        <v>365</v>
      </c>
      <c r="J77" s="256"/>
    </row>
    <row r="78" spans="1:10" ht="12.75" outlineLevel="1">
      <c r="A78" s="307">
        <v>46660</v>
      </c>
      <c r="B78" s="282">
        <f>A78-A77</f>
        <v>92</v>
      </c>
      <c r="C78" s="282">
        <f>C77-D78</f>
        <v>13250000</v>
      </c>
      <c r="D78" s="282">
        <v>250000</v>
      </c>
      <c r="E78" s="308">
        <f>$E$11+$E$12</f>
        <v>0.0585</v>
      </c>
      <c r="F78" s="285">
        <f>B78*C77*E78/I78</f>
        <v>199060.27397260274</v>
      </c>
      <c r="G78" s="282"/>
      <c r="H78" s="286"/>
      <c r="I78" s="256">
        <v>365</v>
      </c>
      <c r="J78" s="256"/>
    </row>
    <row r="79" spans="1:10" ht="12.75" outlineLevel="1">
      <c r="A79" s="307">
        <v>46752</v>
      </c>
      <c r="B79" s="282">
        <f>A79-A78</f>
        <v>92</v>
      </c>
      <c r="C79" s="282">
        <f>C78-D79</f>
        <v>13000000</v>
      </c>
      <c r="D79" s="282">
        <v>250000</v>
      </c>
      <c r="E79" s="308">
        <f>$E$11+$E$12</f>
        <v>0.0585</v>
      </c>
      <c r="F79" s="285">
        <f>B79*C78*E79/I79</f>
        <v>195373.97260273973</v>
      </c>
      <c r="G79" s="282"/>
      <c r="H79" s="286"/>
      <c r="I79" s="256">
        <v>365</v>
      </c>
      <c r="J79" s="256"/>
    </row>
    <row r="80" spans="1:10" ht="12.75" outlineLevel="1">
      <c r="A80" s="309"/>
      <c r="B80" s="288"/>
      <c r="C80" s="288">
        <f>C79</f>
        <v>13000000</v>
      </c>
      <c r="D80" s="288">
        <f>SUM(D76:D79)</f>
        <v>1000000</v>
      </c>
      <c r="E80" s="289"/>
      <c r="F80" s="274">
        <f>SUM(F76:F79)</f>
        <v>796922.2602739725</v>
      </c>
      <c r="G80" s="288"/>
      <c r="H80" s="290"/>
      <c r="I80" s="256"/>
      <c r="J80" s="256"/>
    </row>
    <row r="81" spans="1:10" ht="12.75" outlineLevel="1">
      <c r="A81" s="291"/>
      <c r="B81" s="282"/>
      <c r="C81" s="282"/>
      <c r="D81" s="282"/>
      <c r="E81" s="284"/>
      <c r="F81" s="285"/>
      <c r="G81" s="282"/>
      <c r="H81" s="282"/>
      <c r="I81" s="256"/>
      <c r="J81" s="256"/>
    </row>
    <row r="82" spans="1:10" ht="12.75" outlineLevel="1">
      <c r="A82" s="864" t="s">
        <v>113</v>
      </c>
      <c r="B82" s="864"/>
      <c r="C82" s="864"/>
      <c r="D82" s="864"/>
      <c r="E82" s="864"/>
      <c r="F82" s="864"/>
      <c r="G82" s="864"/>
      <c r="H82" s="864"/>
      <c r="I82" s="256"/>
      <c r="J82" s="256"/>
    </row>
    <row r="83" spans="1:10" ht="12.75" outlineLevel="1">
      <c r="A83" s="271"/>
      <c r="B83" s="272"/>
      <c r="C83" s="272"/>
      <c r="D83" s="272"/>
      <c r="E83" s="273"/>
      <c r="F83" s="274"/>
      <c r="G83" s="272"/>
      <c r="H83" s="275"/>
      <c r="I83" s="256"/>
      <c r="J83" s="256"/>
    </row>
    <row r="84" spans="1:10" ht="22.5" outlineLevel="1">
      <c r="A84" s="276" t="s">
        <v>114</v>
      </c>
      <c r="B84" s="277" t="s">
        <v>115</v>
      </c>
      <c r="C84" s="277" t="s">
        <v>116</v>
      </c>
      <c r="D84" s="277" t="s">
        <v>117</v>
      </c>
      <c r="E84" s="278" t="s">
        <v>118</v>
      </c>
      <c r="F84" s="279" t="s">
        <v>48</v>
      </c>
      <c r="G84" s="277"/>
      <c r="H84" s="280"/>
      <c r="I84" s="256"/>
      <c r="J84" s="256"/>
    </row>
    <row r="85" spans="1:10" ht="12.75" outlineLevel="1">
      <c r="A85" s="281" t="s">
        <v>127</v>
      </c>
      <c r="B85" s="282"/>
      <c r="C85" s="282">
        <f>C80</f>
        <v>13000000</v>
      </c>
      <c r="D85" s="282"/>
      <c r="E85" s="284"/>
      <c r="F85" s="285"/>
      <c r="G85" s="282"/>
      <c r="H85" s="286"/>
      <c r="I85" s="256"/>
      <c r="J85" s="256"/>
    </row>
    <row r="86" spans="1:10" ht="12.75" outlineLevel="1">
      <c r="A86" s="307">
        <v>46843</v>
      </c>
      <c r="B86" s="282">
        <f>A86-A79</f>
        <v>91</v>
      </c>
      <c r="C86" s="282">
        <f>C85-D86</f>
        <v>12750000</v>
      </c>
      <c r="D86" s="282">
        <v>250000</v>
      </c>
      <c r="E86" s="308">
        <f>$E$11+$E$12</f>
        <v>0.0585</v>
      </c>
      <c r="F86" s="285">
        <f>B86*C85*E86/I86</f>
        <v>189086.0655737705</v>
      </c>
      <c r="G86" s="282"/>
      <c r="H86" s="286"/>
      <c r="I86" s="256">
        <v>366</v>
      </c>
      <c r="J86" s="256"/>
    </row>
    <row r="87" spans="1:10" ht="12.75" outlineLevel="1">
      <c r="A87" s="307">
        <v>46934</v>
      </c>
      <c r="B87" s="282">
        <f>A87-A86</f>
        <v>91</v>
      </c>
      <c r="C87" s="282">
        <f>C86-D87</f>
        <v>12500000</v>
      </c>
      <c r="D87" s="282">
        <v>250000</v>
      </c>
      <c r="E87" s="308">
        <f>$E$11+$E$12</f>
        <v>0.0585</v>
      </c>
      <c r="F87" s="285">
        <f>B87*C86*E87/I87</f>
        <v>185449.79508196723</v>
      </c>
      <c r="G87" s="282"/>
      <c r="H87" s="286"/>
      <c r="I87" s="256">
        <v>366</v>
      </c>
      <c r="J87" s="256"/>
    </row>
    <row r="88" spans="1:10" ht="12.75" outlineLevel="1">
      <c r="A88" s="307">
        <v>47026</v>
      </c>
      <c r="B88" s="282">
        <f>A88-A87</f>
        <v>92</v>
      </c>
      <c r="C88" s="282">
        <f>C87-D88</f>
        <v>12250000</v>
      </c>
      <c r="D88" s="282">
        <v>250000</v>
      </c>
      <c r="E88" s="308">
        <f>$E$11+$E$12</f>
        <v>0.0585</v>
      </c>
      <c r="F88" s="285">
        <f>B88*C87*E88/I88</f>
        <v>183811.47540983607</v>
      </c>
      <c r="G88" s="282"/>
      <c r="H88" s="286"/>
      <c r="I88" s="256">
        <v>366</v>
      </c>
      <c r="J88" s="256"/>
    </row>
    <row r="89" spans="1:10" ht="12.75" outlineLevel="1">
      <c r="A89" s="307">
        <v>47118</v>
      </c>
      <c r="B89" s="282">
        <f>A89-A88</f>
        <v>92</v>
      </c>
      <c r="C89" s="282">
        <f>C88-D89</f>
        <v>12000000</v>
      </c>
      <c r="D89" s="282">
        <v>250000</v>
      </c>
      <c r="E89" s="308">
        <f>$E$11+$E$12</f>
        <v>0.0585</v>
      </c>
      <c r="F89" s="285">
        <f>B89*C88*E89/I89</f>
        <v>180135.24590163937</v>
      </c>
      <c r="G89" s="282"/>
      <c r="H89" s="286"/>
      <c r="I89" s="256">
        <v>366</v>
      </c>
      <c r="J89" s="256"/>
    </row>
    <row r="90" spans="1:10" ht="12.75" outlineLevel="1">
      <c r="A90" s="309"/>
      <c r="B90" s="288"/>
      <c r="C90" s="288">
        <f>C89</f>
        <v>12000000</v>
      </c>
      <c r="D90" s="288">
        <f>SUM(D86:D89)</f>
        <v>1000000</v>
      </c>
      <c r="E90" s="289"/>
      <c r="F90" s="274">
        <f>SUM(F86:F89)</f>
        <v>738482.5819672131</v>
      </c>
      <c r="G90" s="288"/>
      <c r="H90" s="290"/>
      <c r="I90" s="256"/>
      <c r="J90" s="256"/>
    </row>
    <row r="91" spans="1:10" ht="12.75" outlineLevel="1">
      <c r="A91" s="291"/>
      <c r="B91" s="282"/>
      <c r="C91" s="282"/>
      <c r="D91" s="282"/>
      <c r="E91" s="284"/>
      <c r="F91" s="285"/>
      <c r="G91" s="282"/>
      <c r="H91" s="282"/>
      <c r="I91" s="256"/>
      <c r="J91" s="256"/>
    </row>
    <row r="92" spans="1:10" ht="12.75" outlineLevel="1">
      <c r="A92" s="864" t="s">
        <v>113</v>
      </c>
      <c r="B92" s="864"/>
      <c r="C92" s="864"/>
      <c r="D92" s="864"/>
      <c r="E92" s="864"/>
      <c r="F92" s="864"/>
      <c r="G92" s="864"/>
      <c r="H92" s="864"/>
      <c r="I92" s="256"/>
      <c r="J92" s="256"/>
    </row>
    <row r="93" spans="1:10" ht="12.75" outlineLevel="1">
      <c r="A93" s="271"/>
      <c r="B93" s="272"/>
      <c r="C93" s="272"/>
      <c r="D93" s="272"/>
      <c r="E93" s="273"/>
      <c r="F93" s="274"/>
      <c r="G93" s="272"/>
      <c r="H93" s="275"/>
      <c r="I93" s="256"/>
      <c r="J93" s="256"/>
    </row>
    <row r="94" spans="1:10" ht="22.5" outlineLevel="1">
      <c r="A94" s="276" t="s">
        <v>114</v>
      </c>
      <c r="B94" s="277" t="s">
        <v>115</v>
      </c>
      <c r="C94" s="277" t="s">
        <v>116</v>
      </c>
      <c r="D94" s="277" t="s">
        <v>117</v>
      </c>
      <c r="E94" s="278" t="s">
        <v>118</v>
      </c>
      <c r="F94" s="279" t="s">
        <v>48</v>
      </c>
      <c r="G94" s="277"/>
      <c r="H94" s="280"/>
      <c r="I94" s="256"/>
      <c r="J94" s="256"/>
    </row>
    <row r="95" spans="1:10" ht="12.75" outlineLevel="1">
      <c r="A95" s="281" t="s">
        <v>128</v>
      </c>
      <c r="B95" s="282"/>
      <c r="C95" s="282">
        <f>C90</f>
        <v>12000000</v>
      </c>
      <c r="D95" s="282"/>
      <c r="E95" s="284"/>
      <c r="F95" s="285"/>
      <c r="G95" s="282"/>
      <c r="H95" s="286"/>
      <c r="I95" s="256"/>
      <c r="J95" s="256"/>
    </row>
    <row r="96" spans="1:10" ht="12.75" outlineLevel="1">
      <c r="A96" s="307">
        <v>47208</v>
      </c>
      <c r="B96" s="282">
        <v>90</v>
      </c>
      <c r="C96" s="282">
        <f>C95-D96</f>
        <v>11750000</v>
      </c>
      <c r="D96" s="282">
        <v>250000</v>
      </c>
      <c r="E96" s="308">
        <f>$E$11+$E$12</f>
        <v>0.0585</v>
      </c>
      <c r="F96" s="285">
        <f>B96*C95*E96/I96</f>
        <v>173095.8904109589</v>
      </c>
      <c r="G96" s="282"/>
      <c r="H96" s="286"/>
      <c r="I96" s="256">
        <v>365</v>
      </c>
      <c r="J96" s="256"/>
    </row>
    <row r="97" spans="1:10" ht="12.75" outlineLevel="1">
      <c r="A97" s="307">
        <v>47299</v>
      </c>
      <c r="B97" s="282">
        <f>A97-A96</f>
        <v>91</v>
      </c>
      <c r="C97" s="282">
        <f>C96-D97</f>
        <v>11500000</v>
      </c>
      <c r="D97" s="282">
        <v>250000</v>
      </c>
      <c r="E97" s="308">
        <f>$E$11+$E$12</f>
        <v>0.0585</v>
      </c>
      <c r="F97" s="285">
        <f>B97*C96*E97/I97</f>
        <v>171372.94520547945</v>
      </c>
      <c r="G97" s="282"/>
      <c r="H97" s="286"/>
      <c r="I97" s="256">
        <v>365</v>
      </c>
      <c r="J97" s="256"/>
    </row>
    <row r="98" spans="1:10" ht="12.75" outlineLevel="1">
      <c r="A98" s="307">
        <v>47391</v>
      </c>
      <c r="B98" s="282">
        <f>A98-A97</f>
        <v>92</v>
      </c>
      <c r="C98" s="282">
        <f>C97-D98</f>
        <v>11250000</v>
      </c>
      <c r="D98" s="282">
        <v>250000</v>
      </c>
      <c r="E98" s="308">
        <f>$E$11+$E$12</f>
        <v>0.0585</v>
      </c>
      <c r="F98" s="285">
        <f>B98*C97*E98/I98</f>
        <v>169569.86301369863</v>
      </c>
      <c r="G98" s="282"/>
      <c r="H98" s="286"/>
      <c r="I98" s="256">
        <v>365</v>
      </c>
      <c r="J98" s="256"/>
    </row>
    <row r="99" spans="1:10" ht="12.75" outlineLevel="1">
      <c r="A99" s="307">
        <v>47483</v>
      </c>
      <c r="B99" s="282">
        <f>A99-A98</f>
        <v>92</v>
      </c>
      <c r="C99" s="282">
        <f>C98-D99</f>
        <v>11000000</v>
      </c>
      <c r="D99" s="282">
        <v>250000</v>
      </c>
      <c r="E99" s="308">
        <f>$E$11+$E$12</f>
        <v>0.0585</v>
      </c>
      <c r="F99" s="285">
        <f>B99*C98*E99/I99</f>
        <v>165883.56164383562</v>
      </c>
      <c r="G99" s="282"/>
      <c r="H99" s="286"/>
      <c r="I99" s="256">
        <v>365</v>
      </c>
      <c r="J99" s="256"/>
    </row>
    <row r="100" spans="1:10" ht="12.75" outlineLevel="1">
      <c r="A100" s="309"/>
      <c r="B100" s="288"/>
      <c r="C100" s="288">
        <f>C99</f>
        <v>11000000</v>
      </c>
      <c r="D100" s="288">
        <f>SUM(D96:D99)</f>
        <v>1000000</v>
      </c>
      <c r="E100" s="289"/>
      <c r="F100" s="274">
        <f>SUM(F96:F99)</f>
        <v>679922.2602739726</v>
      </c>
      <c r="G100" s="288"/>
      <c r="H100" s="290"/>
      <c r="I100" s="256"/>
      <c r="J100" s="256"/>
    </row>
    <row r="101" spans="1:10" ht="12.75" outlineLevel="1">
      <c r="A101" s="291"/>
      <c r="B101" s="282"/>
      <c r="C101" s="282"/>
      <c r="D101" s="282"/>
      <c r="E101" s="284"/>
      <c r="F101" s="285"/>
      <c r="G101" s="282"/>
      <c r="H101" s="282"/>
      <c r="I101" s="256"/>
      <c r="J101" s="256"/>
    </row>
    <row r="102" spans="1:10" ht="12.75" outlineLevel="1">
      <c r="A102" s="864" t="s">
        <v>113</v>
      </c>
      <c r="B102" s="864"/>
      <c r="C102" s="864"/>
      <c r="D102" s="864"/>
      <c r="E102" s="864"/>
      <c r="F102" s="864"/>
      <c r="G102" s="864"/>
      <c r="H102" s="864"/>
      <c r="I102" s="256"/>
      <c r="J102" s="256"/>
    </row>
    <row r="103" spans="1:10" ht="12.75" outlineLevel="1">
      <c r="A103" s="271"/>
      <c r="B103" s="272"/>
      <c r="C103" s="272"/>
      <c r="D103" s="272"/>
      <c r="E103" s="273"/>
      <c r="F103" s="274"/>
      <c r="G103" s="272"/>
      <c r="H103" s="275"/>
      <c r="I103" s="256"/>
      <c r="J103" s="256"/>
    </row>
    <row r="104" spans="1:10" ht="22.5" outlineLevel="1">
      <c r="A104" s="276" t="s">
        <v>114</v>
      </c>
      <c r="B104" s="277" t="s">
        <v>115</v>
      </c>
      <c r="C104" s="277" t="s">
        <v>116</v>
      </c>
      <c r="D104" s="277" t="s">
        <v>117</v>
      </c>
      <c r="E104" s="278" t="s">
        <v>118</v>
      </c>
      <c r="F104" s="279" t="s">
        <v>48</v>
      </c>
      <c r="G104" s="277"/>
      <c r="H104" s="280"/>
      <c r="I104" s="256"/>
      <c r="J104" s="256"/>
    </row>
    <row r="105" spans="1:10" ht="12.75" outlineLevel="1">
      <c r="A105" s="281" t="s">
        <v>208</v>
      </c>
      <c r="B105" s="282"/>
      <c r="C105" s="282">
        <f>C100</f>
        <v>11000000</v>
      </c>
      <c r="D105" s="282"/>
      <c r="E105" s="284"/>
      <c r="F105" s="285"/>
      <c r="G105" s="282"/>
      <c r="H105" s="286"/>
      <c r="I105" s="256"/>
      <c r="J105" s="256"/>
    </row>
    <row r="106" spans="1:10" ht="12.75" outlineLevel="1">
      <c r="A106" s="307">
        <v>47573</v>
      </c>
      <c r="B106" s="282">
        <f>A106-A99</f>
        <v>90</v>
      </c>
      <c r="C106" s="282">
        <f>C105-D106</f>
        <v>10750000</v>
      </c>
      <c r="D106" s="282">
        <v>250000</v>
      </c>
      <c r="E106" s="308">
        <f>$E$11+$E$12</f>
        <v>0.0585</v>
      </c>
      <c r="F106" s="285">
        <f>B106*C105*E106/I106</f>
        <v>158671.23287671234</v>
      </c>
      <c r="G106" s="282"/>
      <c r="H106" s="286"/>
      <c r="I106" s="256">
        <v>365</v>
      </c>
      <c r="J106" s="256"/>
    </row>
    <row r="107" spans="1:10" ht="12.75" outlineLevel="1">
      <c r="A107" s="307">
        <v>47664</v>
      </c>
      <c r="B107" s="282">
        <f>A107-A106</f>
        <v>91</v>
      </c>
      <c r="C107" s="282">
        <f>C106-D107</f>
        <v>10500000</v>
      </c>
      <c r="D107" s="282">
        <v>250000</v>
      </c>
      <c r="E107" s="308">
        <f>$E$11+$E$12</f>
        <v>0.0585</v>
      </c>
      <c r="F107" s="285">
        <f>B107*C106*E107/I107</f>
        <v>156788.01369863015</v>
      </c>
      <c r="G107" s="282"/>
      <c r="H107" s="286"/>
      <c r="I107" s="256">
        <v>365</v>
      </c>
      <c r="J107" s="256"/>
    </row>
    <row r="108" spans="1:10" ht="12.75" outlineLevel="1">
      <c r="A108" s="307">
        <v>47756</v>
      </c>
      <c r="B108" s="282">
        <f>A108-A107</f>
        <v>92</v>
      </c>
      <c r="C108" s="282">
        <f>C107-D108</f>
        <v>10250000</v>
      </c>
      <c r="D108" s="282">
        <v>250000</v>
      </c>
      <c r="E108" s="308">
        <f>$E$11+$E$12</f>
        <v>0.0585</v>
      </c>
      <c r="F108" s="285">
        <f>B108*C107*E108/I108</f>
        <v>154824.65753424657</v>
      </c>
      <c r="G108" s="282"/>
      <c r="H108" s="286"/>
      <c r="I108" s="256">
        <v>365</v>
      </c>
      <c r="J108" s="256"/>
    </row>
    <row r="109" spans="1:10" ht="12.75" outlineLevel="1">
      <c r="A109" s="307">
        <v>47848</v>
      </c>
      <c r="B109" s="282">
        <f>A109-A108</f>
        <v>92</v>
      </c>
      <c r="C109" s="282">
        <f>C108-D109</f>
        <v>10000000</v>
      </c>
      <c r="D109" s="282">
        <v>250000</v>
      </c>
      <c r="E109" s="308">
        <f>$E$11+$E$12</f>
        <v>0.0585</v>
      </c>
      <c r="F109" s="285">
        <f>B109*C108*E109/I109</f>
        <v>151138.35616438356</v>
      </c>
      <c r="G109" s="282"/>
      <c r="H109" s="286"/>
      <c r="I109" s="256">
        <v>365</v>
      </c>
      <c r="J109" s="256"/>
    </row>
    <row r="110" spans="1:10" ht="12.75" outlineLevel="1">
      <c r="A110" s="309"/>
      <c r="B110" s="288"/>
      <c r="C110" s="288">
        <f>C109</f>
        <v>10000000</v>
      </c>
      <c r="D110" s="288">
        <f>SUM(D106:D109)</f>
        <v>1000000</v>
      </c>
      <c r="E110" s="289"/>
      <c r="F110" s="274">
        <f>SUM(F106:F109)</f>
        <v>621422.2602739726</v>
      </c>
      <c r="G110" s="288"/>
      <c r="H110" s="290"/>
      <c r="I110" s="256"/>
      <c r="J110" s="256"/>
    </row>
    <row r="111" spans="1:10" ht="12.75" outlineLevel="1">
      <c r="A111" s="291"/>
      <c r="B111" s="282"/>
      <c r="C111" s="282"/>
      <c r="D111" s="282"/>
      <c r="E111" s="284"/>
      <c r="F111" s="285"/>
      <c r="G111" s="282"/>
      <c r="H111" s="282"/>
      <c r="I111" s="256"/>
      <c r="J111" s="256"/>
    </row>
    <row r="112" spans="1:10" ht="12.75" outlineLevel="1">
      <c r="A112" s="864" t="s">
        <v>113</v>
      </c>
      <c r="B112" s="864"/>
      <c r="C112" s="864"/>
      <c r="D112" s="864"/>
      <c r="E112" s="864"/>
      <c r="F112" s="864"/>
      <c r="G112" s="864"/>
      <c r="H112" s="864"/>
      <c r="I112" s="256"/>
      <c r="J112" s="256"/>
    </row>
    <row r="113" spans="1:10" ht="12.75" outlineLevel="1">
      <c r="A113" s="271"/>
      <c r="B113" s="272"/>
      <c r="C113" s="272"/>
      <c r="D113" s="272"/>
      <c r="E113" s="273"/>
      <c r="F113" s="274"/>
      <c r="G113" s="272"/>
      <c r="H113" s="275"/>
      <c r="I113" s="256"/>
      <c r="J113" s="256"/>
    </row>
    <row r="114" spans="1:10" ht="22.5" outlineLevel="1">
      <c r="A114" s="276" t="s">
        <v>114</v>
      </c>
      <c r="B114" s="277" t="s">
        <v>115</v>
      </c>
      <c r="C114" s="277" t="s">
        <v>116</v>
      </c>
      <c r="D114" s="277" t="s">
        <v>117</v>
      </c>
      <c r="E114" s="278" t="s">
        <v>118</v>
      </c>
      <c r="F114" s="279" t="s">
        <v>48</v>
      </c>
      <c r="G114" s="277"/>
      <c r="H114" s="280"/>
      <c r="I114" s="256"/>
      <c r="J114" s="256"/>
    </row>
    <row r="115" spans="1:10" ht="12.75" outlineLevel="1">
      <c r="A115" s="281" t="s">
        <v>130</v>
      </c>
      <c r="B115" s="282"/>
      <c r="C115" s="282">
        <f>C110</f>
        <v>10000000</v>
      </c>
      <c r="D115" s="282"/>
      <c r="E115" s="284"/>
      <c r="F115" s="285"/>
      <c r="G115" s="282"/>
      <c r="H115" s="286"/>
      <c r="I115" s="256"/>
      <c r="J115" s="256"/>
    </row>
    <row r="116" spans="1:10" ht="12.75" outlineLevel="1">
      <c r="A116" s="307">
        <v>47938</v>
      </c>
      <c r="B116" s="282">
        <f>A116-A109</f>
        <v>90</v>
      </c>
      <c r="C116" s="282">
        <f>C115-D116</f>
        <v>9750000</v>
      </c>
      <c r="D116" s="282">
        <v>250000</v>
      </c>
      <c r="E116" s="308">
        <f>$E$11+$E$12</f>
        <v>0.0585</v>
      </c>
      <c r="F116" s="285">
        <f>B116*C115*E116/I116</f>
        <v>144246.57534246575</v>
      </c>
      <c r="G116" s="282"/>
      <c r="H116" s="286"/>
      <c r="I116" s="256">
        <v>365</v>
      </c>
      <c r="J116" s="256"/>
    </row>
    <row r="117" spans="1:10" ht="12.75" outlineLevel="1">
      <c r="A117" s="307">
        <v>48029</v>
      </c>
      <c r="B117" s="282">
        <f>A117-A116</f>
        <v>91</v>
      </c>
      <c r="C117" s="282">
        <f>C116-D117</f>
        <v>9500000</v>
      </c>
      <c r="D117" s="282">
        <v>250000</v>
      </c>
      <c r="E117" s="308">
        <f>$E$11+$E$12</f>
        <v>0.0585</v>
      </c>
      <c r="F117" s="285">
        <f>B117*C116*E117/I117</f>
        <v>142203.08219178082</v>
      </c>
      <c r="G117" s="282"/>
      <c r="H117" s="286"/>
      <c r="I117" s="256">
        <v>365</v>
      </c>
      <c r="J117" s="256"/>
    </row>
    <row r="118" spans="1:10" ht="12.75" outlineLevel="1">
      <c r="A118" s="307">
        <v>48121</v>
      </c>
      <c r="B118" s="282">
        <f>A118-A117</f>
        <v>92</v>
      </c>
      <c r="C118" s="282">
        <f>C117-D118</f>
        <v>9250000</v>
      </c>
      <c r="D118" s="282">
        <v>250000</v>
      </c>
      <c r="E118" s="308">
        <f>$E$11+$E$12</f>
        <v>0.0585</v>
      </c>
      <c r="F118" s="285">
        <f>B118*C117*E118/I118</f>
        <v>140079.45205479453</v>
      </c>
      <c r="G118" s="282"/>
      <c r="H118" s="286"/>
      <c r="I118" s="256">
        <v>365</v>
      </c>
      <c r="J118" s="256"/>
    </row>
    <row r="119" spans="1:10" ht="12.75" outlineLevel="1">
      <c r="A119" s="307">
        <v>48213</v>
      </c>
      <c r="B119" s="282">
        <f>A119-A118</f>
        <v>92</v>
      </c>
      <c r="C119" s="282">
        <f>C118-D119</f>
        <v>9000000</v>
      </c>
      <c r="D119" s="282">
        <v>250000</v>
      </c>
      <c r="E119" s="308">
        <f>$E$11+$E$12</f>
        <v>0.0585</v>
      </c>
      <c r="F119" s="285">
        <f>B119*C118*E119/I119</f>
        <v>136393.15068493152</v>
      </c>
      <c r="G119" s="282"/>
      <c r="H119" s="286"/>
      <c r="I119" s="256">
        <v>365</v>
      </c>
      <c r="J119" s="256"/>
    </row>
    <row r="120" spans="1:10" ht="12.75" outlineLevel="1">
      <c r="A120" s="309"/>
      <c r="B120" s="288"/>
      <c r="C120" s="288">
        <f>C119</f>
        <v>9000000</v>
      </c>
      <c r="D120" s="288">
        <f>SUM(D116:D119)</f>
        <v>1000000</v>
      </c>
      <c r="E120" s="289"/>
      <c r="F120" s="274">
        <f>SUM(F116:F119)</f>
        <v>562922.2602739726</v>
      </c>
      <c r="G120" s="288"/>
      <c r="H120" s="290"/>
      <c r="I120" s="256"/>
      <c r="J120" s="256"/>
    </row>
    <row r="121" spans="1:10" ht="12.75" outlineLevel="1">
      <c r="A121" s="256"/>
      <c r="B121" s="255"/>
      <c r="C121" s="255"/>
      <c r="D121" s="255"/>
      <c r="E121" s="257"/>
      <c r="F121" s="258"/>
      <c r="G121" s="255"/>
      <c r="H121" s="255"/>
      <c r="I121" s="256"/>
      <c r="J121" s="256"/>
    </row>
    <row r="122" spans="1:10" ht="12.75" outlineLevel="1">
      <c r="A122" s="864" t="s">
        <v>113</v>
      </c>
      <c r="B122" s="864"/>
      <c r="C122" s="864"/>
      <c r="D122" s="864"/>
      <c r="E122" s="864"/>
      <c r="F122" s="864"/>
      <c r="G122" s="864"/>
      <c r="H122" s="864"/>
      <c r="I122" s="256"/>
      <c r="J122" s="256"/>
    </row>
    <row r="123" spans="1:10" ht="12.75" outlineLevel="1">
      <c r="A123" s="271"/>
      <c r="B123" s="272"/>
      <c r="C123" s="272"/>
      <c r="D123" s="272"/>
      <c r="E123" s="273"/>
      <c r="F123" s="274"/>
      <c r="G123" s="272"/>
      <c r="H123" s="275"/>
      <c r="I123" s="256"/>
      <c r="J123" s="256"/>
    </row>
    <row r="124" spans="1:10" ht="22.5" outlineLevel="1">
      <c r="A124" s="276" t="s">
        <v>114</v>
      </c>
      <c r="B124" s="277" t="s">
        <v>115</v>
      </c>
      <c r="C124" s="277" t="s">
        <v>116</v>
      </c>
      <c r="D124" s="277" t="s">
        <v>117</v>
      </c>
      <c r="E124" s="278" t="s">
        <v>118</v>
      </c>
      <c r="F124" s="279" t="s">
        <v>48</v>
      </c>
      <c r="G124" s="277"/>
      <c r="H124" s="280"/>
      <c r="I124" s="256"/>
      <c r="J124" s="256"/>
    </row>
    <row r="125" spans="1:10" ht="12.75" outlineLevel="1">
      <c r="A125" s="281" t="s">
        <v>131</v>
      </c>
      <c r="B125" s="282"/>
      <c r="C125" s="282">
        <f>C120</f>
        <v>9000000</v>
      </c>
      <c r="D125" s="282"/>
      <c r="E125" s="284"/>
      <c r="F125" s="285"/>
      <c r="G125" s="282"/>
      <c r="H125" s="286"/>
      <c r="I125" s="256"/>
      <c r="J125" s="256"/>
    </row>
    <row r="126" spans="1:10" ht="12.75" outlineLevel="1">
      <c r="A126" s="307">
        <v>48304</v>
      </c>
      <c r="B126" s="282">
        <f>A126-A119</f>
        <v>91</v>
      </c>
      <c r="C126" s="282">
        <f>C125-D126</f>
        <v>8750000</v>
      </c>
      <c r="D126" s="282">
        <v>250000</v>
      </c>
      <c r="E126" s="308">
        <f>$E$11+$E$12</f>
        <v>0.0585</v>
      </c>
      <c r="F126" s="285">
        <f>B126*C125*E126/I126</f>
        <v>130905.73770491804</v>
      </c>
      <c r="G126" s="282"/>
      <c r="H126" s="286"/>
      <c r="I126" s="256">
        <v>366</v>
      </c>
      <c r="J126" s="256"/>
    </row>
    <row r="127" spans="1:10" ht="12.75" outlineLevel="1">
      <c r="A127" s="307">
        <v>48395</v>
      </c>
      <c r="B127" s="282">
        <f>A127-A126</f>
        <v>91</v>
      </c>
      <c r="C127" s="282">
        <f>C126-D127</f>
        <v>8500000</v>
      </c>
      <c r="D127" s="282">
        <v>250000</v>
      </c>
      <c r="E127" s="308">
        <f>$E$11+$E$12</f>
        <v>0.0585</v>
      </c>
      <c r="F127" s="285">
        <f>B127*C126*E127/I127</f>
        <v>127269.46721311475</v>
      </c>
      <c r="G127" s="282"/>
      <c r="H127" s="286"/>
      <c r="I127" s="256">
        <v>366</v>
      </c>
      <c r="J127" s="256"/>
    </row>
    <row r="128" spans="1:10" ht="12.75" outlineLevel="1">
      <c r="A128" s="307">
        <v>48487</v>
      </c>
      <c r="B128" s="282">
        <f>A128-A127</f>
        <v>92</v>
      </c>
      <c r="C128" s="282">
        <f>C127-D128</f>
        <v>8250000</v>
      </c>
      <c r="D128" s="282">
        <v>250000</v>
      </c>
      <c r="E128" s="308">
        <f>$E$11+$E$12</f>
        <v>0.0585</v>
      </c>
      <c r="F128" s="285">
        <f>B128*C127*E128/I128</f>
        <v>124991.80327868853</v>
      </c>
      <c r="G128" s="282"/>
      <c r="H128" s="286"/>
      <c r="I128" s="256">
        <v>366</v>
      </c>
      <c r="J128" s="256"/>
    </row>
    <row r="129" spans="1:10" ht="12.75" outlineLevel="1">
      <c r="A129" s="307">
        <v>48579</v>
      </c>
      <c r="B129" s="282">
        <f>A129-A128</f>
        <v>92</v>
      </c>
      <c r="C129" s="282">
        <f>C128-D129</f>
        <v>8000000</v>
      </c>
      <c r="D129" s="282">
        <v>250000</v>
      </c>
      <c r="E129" s="308">
        <f>$E$11+$E$12</f>
        <v>0.0585</v>
      </c>
      <c r="F129" s="285">
        <f>B129*C128*E129/I129</f>
        <v>121315.5737704918</v>
      </c>
      <c r="G129" s="282"/>
      <c r="H129" s="286"/>
      <c r="I129" s="256">
        <v>366</v>
      </c>
      <c r="J129" s="256"/>
    </row>
    <row r="130" spans="1:10" ht="12.75" outlineLevel="1">
      <c r="A130" s="309"/>
      <c r="B130" s="288"/>
      <c r="C130" s="288">
        <f>C129</f>
        <v>8000000</v>
      </c>
      <c r="D130" s="288">
        <f>SUM(D126:D129)</f>
        <v>1000000</v>
      </c>
      <c r="E130" s="289"/>
      <c r="F130" s="274">
        <f>SUM(F126:F129)</f>
        <v>504482.58196721313</v>
      </c>
      <c r="G130" s="288"/>
      <c r="H130" s="290"/>
      <c r="I130" s="256"/>
      <c r="J130" s="256"/>
    </row>
    <row r="131" spans="1:10" ht="12.75" outlineLevel="1">
      <c r="A131" s="310"/>
      <c r="B131" s="311"/>
      <c r="C131" s="311"/>
      <c r="D131" s="312"/>
      <c r="E131" s="312"/>
      <c r="F131" s="312"/>
      <c r="G131" s="311"/>
      <c r="H131" s="313"/>
      <c r="I131" s="256"/>
      <c r="J131" s="256"/>
    </row>
    <row r="132" spans="1:10" ht="12.75" outlineLevel="1">
      <c r="A132" s="864" t="s">
        <v>113</v>
      </c>
      <c r="B132" s="864"/>
      <c r="C132" s="864"/>
      <c r="D132" s="864"/>
      <c r="E132" s="864"/>
      <c r="F132" s="864"/>
      <c r="G132" s="864"/>
      <c r="H132" s="864"/>
      <c r="I132" s="256"/>
      <c r="J132" s="256"/>
    </row>
    <row r="133" spans="1:10" ht="12.75" outlineLevel="1">
      <c r="A133" s="271"/>
      <c r="B133" s="272"/>
      <c r="C133" s="272"/>
      <c r="D133" s="272"/>
      <c r="E133" s="273"/>
      <c r="F133" s="274"/>
      <c r="G133" s="272"/>
      <c r="H133" s="275"/>
      <c r="I133" s="256"/>
      <c r="J133" s="256"/>
    </row>
    <row r="134" spans="1:10" ht="22.5" outlineLevel="1">
      <c r="A134" s="276" t="s">
        <v>114</v>
      </c>
      <c r="B134" s="277" t="s">
        <v>115</v>
      </c>
      <c r="C134" s="277" t="s">
        <v>116</v>
      </c>
      <c r="D134" s="277" t="s">
        <v>117</v>
      </c>
      <c r="E134" s="278" t="s">
        <v>118</v>
      </c>
      <c r="F134" s="279" t="s">
        <v>48</v>
      </c>
      <c r="G134" s="277"/>
      <c r="H134" s="280"/>
      <c r="I134" s="256"/>
      <c r="J134" s="256"/>
    </row>
    <row r="135" spans="1:10" ht="12.75" outlineLevel="1">
      <c r="A135" s="281" t="s">
        <v>132</v>
      </c>
      <c r="B135" s="282"/>
      <c r="C135" s="282">
        <f>C130</f>
        <v>8000000</v>
      </c>
      <c r="D135" s="282"/>
      <c r="E135" s="284"/>
      <c r="F135" s="285"/>
      <c r="G135" s="282"/>
      <c r="H135" s="286"/>
      <c r="I135" s="256"/>
      <c r="J135" s="256"/>
    </row>
    <row r="136" spans="1:10" ht="12.75" outlineLevel="1">
      <c r="A136" s="307">
        <v>48669</v>
      </c>
      <c r="B136" s="282">
        <v>90</v>
      </c>
      <c r="C136" s="282">
        <f>C135-D136</f>
        <v>7750000</v>
      </c>
      <c r="D136" s="282">
        <v>250000</v>
      </c>
      <c r="E136" s="308">
        <f>$E$11+$E$12</f>
        <v>0.0585</v>
      </c>
      <c r="F136" s="285">
        <f>B136*C135*E136/I136</f>
        <v>115397.2602739726</v>
      </c>
      <c r="G136" s="282"/>
      <c r="H136" s="286"/>
      <c r="I136" s="256">
        <v>365</v>
      </c>
      <c r="J136" s="256"/>
    </row>
    <row r="137" spans="1:10" ht="12.75" outlineLevel="1">
      <c r="A137" s="307">
        <v>48760</v>
      </c>
      <c r="B137" s="282">
        <f>A137-A136</f>
        <v>91</v>
      </c>
      <c r="C137" s="282">
        <f>C136-D137</f>
        <v>7500000</v>
      </c>
      <c r="D137" s="282">
        <v>250000</v>
      </c>
      <c r="E137" s="308">
        <f>$E$11+$E$12</f>
        <v>0.0585</v>
      </c>
      <c r="F137" s="285">
        <f>B137*C136*E137/I137</f>
        <v>113033.21917808219</v>
      </c>
      <c r="G137" s="282"/>
      <c r="H137" s="286"/>
      <c r="I137" s="256">
        <v>365</v>
      </c>
      <c r="J137" s="256"/>
    </row>
    <row r="138" spans="1:10" ht="12.75" outlineLevel="1">
      <c r="A138" s="307">
        <v>48852</v>
      </c>
      <c r="B138" s="282">
        <f>A138-A137</f>
        <v>92</v>
      </c>
      <c r="C138" s="282">
        <f>C137-D138</f>
        <v>7250000</v>
      </c>
      <c r="D138" s="282">
        <v>250000</v>
      </c>
      <c r="E138" s="308">
        <f>$E$11+$E$12</f>
        <v>0.0585</v>
      </c>
      <c r="F138" s="285">
        <f>B138*C137*E138/I138</f>
        <v>110589.04109589041</v>
      </c>
      <c r="G138" s="282"/>
      <c r="H138" s="286"/>
      <c r="I138" s="256">
        <v>365</v>
      </c>
      <c r="J138" s="256"/>
    </row>
    <row r="139" spans="1:10" ht="12.75" outlineLevel="1">
      <c r="A139" s="307">
        <v>48944</v>
      </c>
      <c r="B139" s="282">
        <f>A139-A138</f>
        <v>92</v>
      </c>
      <c r="C139" s="282">
        <f>C138-D139</f>
        <v>7000000</v>
      </c>
      <c r="D139" s="282">
        <v>250000</v>
      </c>
      <c r="E139" s="308">
        <f>$E$11+$E$12</f>
        <v>0.0585</v>
      </c>
      <c r="F139" s="285">
        <f>B139*C138*E139/I139</f>
        <v>106902.7397260274</v>
      </c>
      <c r="G139" s="282"/>
      <c r="H139" s="286"/>
      <c r="I139" s="256">
        <v>365</v>
      </c>
      <c r="J139" s="256"/>
    </row>
    <row r="140" spans="1:10" ht="12.75" outlineLevel="1">
      <c r="A140" s="309"/>
      <c r="B140" s="288"/>
      <c r="C140" s="288">
        <f>C139</f>
        <v>7000000</v>
      </c>
      <c r="D140" s="288">
        <f>SUM(D136:D139)</f>
        <v>1000000</v>
      </c>
      <c r="E140" s="289"/>
      <c r="F140" s="274">
        <f>SUM(F136:F139)</f>
        <v>445922.2602739726</v>
      </c>
      <c r="G140" s="288"/>
      <c r="H140" s="290"/>
      <c r="I140" s="256"/>
      <c r="J140" s="256"/>
    </row>
    <row r="141" spans="1:10" ht="12.75" outlineLevel="1">
      <c r="A141" s="310"/>
      <c r="B141" s="311"/>
      <c r="C141" s="311"/>
      <c r="D141" s="311"/>
      <c r="E141" s="314"/>
      <c r="F141" s="315"/>
      <c r="G141" s="311"/>
      <c r="H141" s="313"/>
      <c r="I141" s="256"/>
      <c r="J141" s="256"/>
    </row>
    <row r="142" spans="1:10" ht="12.75" outlineLevel="1">
      <c r="A142" s="864" t="s">
        <v>113</v>
      </c>
      <c r="B142" s="864"/>
      <c r="C142" s="864"/>
      <c r="D142" s="864"/>
      <c r="E142" s="864"/>
      <c r="F142" s="864"/>
      <c r="G142" s="864"/>
      <c r="H142" s="864"/>
      <c r="I142" s="256"/>
      <c r="J142" s="256"/>
    </row>
    <row r="143" spans="1:10" ht="12.75" outlineLevel="1">
      <c r="A143" s="271"/>
      <c r="B143" s="272"/>
      <c r="C143" s="272"/>
      <c r="D143" s="272"/>
      <c r="E143" s="273"/>
      <c r="F143" s="274"/>
      <c r="G143" s="272"/>
      <c r="H143" s="275"/>
      <c r="I143" s="256"/>
      <c r="J143" s="256"/>
    </row>
    <row r="144" spans="1:10" ht="22.5" outlineLevel="1">
      <c r="A144" s="276" t="s">
        <v>114</v>
      </c>
      <c r="B144" s="277" t="s">
        <v>115</v>
      </c>
      <c r="C144" s="277" t="s">
        <v>116</v>
      </c>
      <c r="D144" s="277" t="s">
        <v>117</v>
      </c>
      <c r="E144" s="278" t="s">
        <v>118</v>
      </c>
      <c r="F144" s="279" t="s">
        <v>48</v>
      </c>
      <c r="G144" s="277"/>
      <c r="H144" s="280"/>
      <c r="I144" s="256"/>
      <c r="J144" s="256"/>
    </row>
    <row r="145" spans="1:10" ht="12.75" outlineLevel="1">
      <c r="A145" s="281" t="s">
        <v>133</v>
      </c>
      <c r="B145" s="282"/>
      <c r="C145" s="282">
        <f>C140</f>
        <v>7000000</v>
      </c>
      <c r="D145" s="282"/>
      <c r="E145" s="284"/>
      <c r="F145" s="285"/>
      <c r="G145" s="282"/>
      <c r="H145" s="286"/>
      <c r="I145" s="256"/>
      <c r="J145" s="256"/>
    </row>
    <row r="146" spans="1:10" ht="12.75" outlineLevel="1">
      <c r="A146" s="307">
        <v>49034</v>
      </c>
      <c r="B146" s="282">
        <f>A146-A139</f>
        <v>90</v>
      </c>
      <c r="C146" s="282">
        <f>C145-D146</f>
        <v>6750000</v>
      </c>
      <c r="D146" s="282">
        <v>250000</v>
      </c>
      <c r="E146" s="308">
        <f>$E$11+$E$12</f>
        <v>0.0585</v>
      </c>
      <c r="F146" s="285">
        <f>B146*C145*E146/I146</f>
        <v>100972.60273972603</v>
      </c>
      <c r="G146" s="282"/>
      <c r="H146" s="286"/>
      <c r="I146" s="256">
        <v>365</v>
      </c>
      <c r="J146" s="256"/>
    </row>
    <row r="147" spans="1:10" ht="12.75" outlineLevel="1">
      <c r="A147" s="307">
        <v>49125</v>
      </c>
      <c r="B147" s="282">
        <f>A147-A146</f>
        <v>91</v>
      </c>
      <c r="C147" s="282">
        <f>C146-D147</f>
        <v>6500000</v>
      </c>
      <c r="D147" s="282">
        <v>250000</v>
      </c>
      <c r="E147" s="308">
        <f>$E$11+$E$12</f>
        <v>0.0585</v>
      </c>
      <c r="F147" s="285">
        <f>B147*C146*E147/I147</f>
        <v>98448.28767123287</v>
      </c>
      <c r="G147" s="282"/>
      <c r="H147" s="286"/>
      <c r="I147" s="256">
        <v>365</v>
      </c>
      <c r="J147" s="256"/>
    </row>
    <row r="148" spans="1:10" ht="12.75" outlineLevel="1">
      <c r="A148" s="307">
        <v>49217</v>
      </c>
      <c r="B148" s="282">
        <f>A148-A147</f>
        <v>92</v>
      </c>
      <c r="C148" s="282">
        <f>C147-D148</f>
        <v>6250000</v>
      </c>
      <c r="D148" s="282">
        <v>250000</v>
      </c>
      <c r="E148" s="308">
        <f>$E$11+$E$12</f>
        <v>0.0585</v>
      </c>
      <c r="F148" s="285">
        <f>B148*C147*E148/I148</f>
        <v>95843.83561643836</v>
      </c>
      <c r="G148" s="282"/>
      <c r="H148" s="286"/>
      <c r="I148" s="256">
        <v>365</v>
      </c>
      <c r="J148" s="256"/>
    </row>
    <row r="149" spans="1:10" ht="12.75" outlineLevel="1">
      <c r="A149" s="307">
        <v>49309</v>
      </c>
      <c r="B149" s="282">
        <f>A149-A148</f>
        <v>92</v>
      </c>
      <c r="C149" s="282">
        <f>C148-D149</f>
        <v>6000000</v>
      </c>
      <c r="D149" s="282">
        <v>250000</v>
      </c>
      <c r="E149" s="308">
        <f>$E$11+$E$12</f>
        <v>0.0585</v>
      </c>
      <c r="F149" s="285">
        <f>B149*C148*E149/I149</f>
        <v>92157.53424657535</v>
      </c>
      <c r="G149" s="282"/>
      <c r="H149" s="286"/>
      <c r="I149" s="256">
        <v>365</v>
      </c>
      <c r="J149" s="256"/>
    </row>
    <row r="150" spans="1:10" ht="12.75" outlineLevel="1">
      <c r="A150" s="309"/>
      <c r="B150" s="288"/>
      <c r="C150" s="288">
        <f>C149</f>
        <v>6000000</v>
      </c>
      <c r="D150" s="288">
        <f>SUM(D146:D149)</f>
        <v>1000000</v>
      </c>
      <c r="E150" s="289"/>
      <c r="F150" s="274">
        <f>SUM(F146:F149)</f>
        <v>387422.26027397264</v>
      </c>
      <c r="G150" s="288"/>
      <c r="H150" s="290"/>
      <c r="I150" s="256"/>
      <c r="J150" s="256"/>
    </row>
    <row r="151" spans="1:10" ht="12.75" outlineLevel="1">
      <c r="A151" s="310"/>
      <c r="B151" s="311"/>
      <c r="C151" s="311"/>
      <c r="D151" s="311"/>
      <c r="E151" s="314"/>
      <c r="F151" s="315"/>
      <c r="G151" s="311"/>
      <c r="H151" s="313"/>
      <c r="I151" s="256"/>
      <c r="J151" s="256"/>
    </row>
    <row r="152" spans="1:10" ht="12.75" outlineLevel="1">
      <c r="A152" s="864" t="s">
        <v>113</v>
      </c>
      <c r="B152" s="864"/>
      <c r="C152" s="864"/>
      <c r="D152" s="864"/>
      <c r="E152" s="864"/>
      <c r="F152" s="864"/>
      <c r="G152" s="864"/>
      <c r="H152" s="864"/>
      <c r="I152" s="256"/>
      <c r="J152" s="256"/>
    </row>
    <row r="153" spans="1:10" ht="12.75" outlineLevel="1">
      <c r="A153" s="271"/>
      <c r="B153" s="272"/>
      <c r="C153" s="272"/>
      <c r="D153" s="272"/>
      <c r="E153" s="273"/>
      <c r="F153" s="274"/>
      <c r="G153" s="272"/>
      <c r="H153" s="275"/>
      <c r="I153" s="256"/>
      <c r="J153" s="256"/>
    </row>
    <row r="154" spans="1:10" ht="22.5" outlineLevel="1">
      <c r="A154" s="276" t="s">
        <v>114</v>
      </c>
      <c r="B154" s="277" t="s">
        <v>115</v>
      </c>
      <c r="C154" s="277" t="s">
        <v>116</v>
      </c>
      <c r="D154" s="277" t="s">
        <v>117</v>
      </c>
      <c r="E154" s="278" t="s">
        <v>118</v>
      </c>
      <c r="F154" s="279" t="s">
        <v>48</v>
      </c>
      <c r="G154" s="277"/>
      <c r="H154" s="280"/>
      <c r="I154" s="256"/>
      <c r="J154" s="256"/>
    </row>
    <row r="155" spans="1:10" ht="12.75" outlineLevel="1">
      <c r="A155" s="281" t="s">
        <v>209</v>
      </c>
      <c r="B155" s="282"/>
      <c r="C155" s="282">
        <f>C150</f>
        <v>6000000</v>
      </c>
      <c r="D155" s="282"/>
      <c r="E155" s="284"/>
      <c r="F155" s="285"/>
      <c r="G155" s="282"/>
      <c r="H155" s="286"/>
      <c r="I155" s="256"/>
      <c r="J155" s="256"/>
    </row>
    <row r="156" spans="1:10" ht="12.75" outlineLevel="1">
      <c r="A156" s="307">
        <v>49399</v>
      </c>
      <c r="B156" s="282">
        <f>A156-A149</f>
        <v>90</v>
      </c>
      <c r="C156" s="282">
        <f>C155-D156</f>
        <v>5750000</v>
      </c>
      <c r="D156" s="282">
        <v>250000</v>
      </c>
      <c r="E156" s="308">
        <f>$E$11+$E$12</f>
        <v>0.0585</v>
      </c>
      <c r="F156" s="285">
        <f>B156*C155*E156/I156</f>
        <v>86547.94520547945</v>
      </c>
      <c r="G156" s="282"/>
      <c r="H156" s="286"/>
      <c r="I156" s="256">
        <v>365</v>
      </c>
      <c r="J156" s="256"/>
    </row>
    <row r="157" spans="1:10" ht="12.75" outlineLevel="1">
      <c r="A157" s="307">
        <v>49490</v>
      </c>
      <c r="B157" s="282">
        <f>A157-A156</f>
        <v>91</v>
      </c>
      <c r="C157" s="282">
        <f>C156-D157</f>
        <v>5500000</v>
      </c>
      <c r="D157" s="282">
        <v>250000</v>
      </c>
      <c r="E157" s="308">
        <f>$E$11+$E$12</f>
        <v>0.0585</v>
      </c>
      <c r="F157" s="285">
        <f>B157*C156*E157/I157</f>
        <v>83863.35616438356</v>
      </c>
      <c r="G157" s="282"/>
      <c r="H157" s="286"/>
      <c r="I157" s="256">
        <v>365</v>
      </c>
      <c r="J157" s="256"/>
    </row>
    <row r="158" spans="1:10" ht="12.75" outlineLevel="1">
      <c r="A158" s="307">
        <v>49582</v>
      </c>
      <c r="B158" s="282">
        <f>A158-A157</f>
        <v>92</v>
      </c>
      <c r="C158" s="282">
        <f>C157-D158</f>
        <v>5250000</v>
      </c>
      <c r="D158" s="282">
        <v>250000</v>
      </c>
      <c r="E158" s="308">
        <f>$E$11+$E$12</f>
        <v>0.0585</v>
      </c>
      <c r="F158" s="285">
        <f>B158*C157*E158/I158</f>
        <v>81098.6301369863</v>
      </c>
      <c r="G158" s="282"/>
      <c r="H158" s="286"/>
      <c r="I158" s="256">
        <v>365</v>
      </c>
      <c r="J158" s="256"/>
    </row>
    <row r="159" spans="1:10" ht="12.75" outlineLevel="1">
      <c r="A159" s="307">
        <v>49674</v>
      </c>
      <c r="B159" s="282">
        <f>A159-A158</f>
        <v>92</v>
      </c>
      <c r="C159" s="282">
        <f>C158-D159</f>
        <v>5000000</v>
      </c>
      <c r="D159" s="282">
        <v>250000</v>
      </c>
      <c r="E159" s="308">
        <f>$E$11+$E$12</f>
        <v>0.0585</v>
      </c>
      <c r="F159" s="285">
        <f>B159*C158*E159/I159</f>
        <v>77412.32876712328</v>
      </c>
      <c r="G159" s="282"/>
      <c r="H159" s="286"/>
      <c r="I159" s="256">
        <v>365</v>
      </c>
      <c r="J159" s="256"/>
    </row>
    <row r="160" spans="1:10" ht="12.75" outlineLevel="1">
      <c r="A160" s="309"/>
      <c r="B160" s="288"/>
      <c r="C160" s="288">
        <f>C159</f>
        <v>5000000</v>
      </c>
      <c r="D160" s="288">
        <f>SUM(D156:D159)</f>
        <v>1000000</v>
      </c>
      <c r="E160" s="289"/>
      <c r="F160" s="274">
        <f>SUM(F156:F159)</f>
        <v>328922.2602739726</v>
      </c>
      <c r="G160" s="288"/>
      <c r="H160" s="290"/>
      <c r="I160" s="256"/>
      <c r="J160" s="256"/>
    </row>
    <row r="161" spans="1:10" ht="12.75" outlineLevel="1">
      <c r="A161" s="310"/>
      <c r="B161" s="311"/>
      <c r="C161" s="311"/>
      <c r="D161" s="311"/>
      <c r="E161" s="314"/>
      <c r="F161" s="315"/>
      <c r="G161" s="311"/>
      <c r="H161" s="313"/>
      <c r="I161" s="256"/>
      <c r="J161" s="256"/>
    </row>
    <row r="162" spans="1:10" ht="12.75" outlineLevel="1">
      <c r="A162" s="864" t="s">
        <v>113</v>
      </c>
      <c r="B162" s="864"/>
      <c r="C162" s="864"/>
      <c r="D162" s="864"/>
      <c r="E162" s="864"/>
      <c r="F162" s="864"/>
      <c r="G162" s="864"/>
      <c r="H162" s="864"/>
      <c r="I162" s="256"/>
      <c r="J162" s="256"/>
    </row>
    <row r="163" spans="1:10" ht="12.75" outlineLevel="1">
      <c r="A163" s="271"/>
      <c r="B163" s="272"/>
      <c r="C163" s="272"/>
      <c r="D163" s="272"/>
      <c r="E163" s="273"/>
      <c r="F163" s="274"/>
      <c r="G163" s="272"/>
      <c r="H163" s="275"/>
      <c r="I163" s="256"/>
      <c r="J163" s="256"/>
    </row>
    <row r="164" spans="1:10" ht="22.5" outlineLevel="1">
      <c r="A164" s="276" t="s">
        <v>114</v>
      </c>
      <c r="B164" s="277" t="s">
        <v>115</v>
      </c>
      <c r="C164" s="277" t="s">
        <v>116</v>
      </c>
      <c r="D164" s="277" t="s">
        <v>117</v>
      </c>
      <c r="E164" s="278" t="s">
        <v>118</v>
      </c>
      <c r="F164" s="279" t="s">
        <v>48</v>
      </c>
      <c r="G164" s="277"/>
      <c r="H164" s="280"/>
      <c r="I164" s="256"/>
      <c r="J164" s="256"/>
    </row>
    <row r="165" spans="1:10" ht="12.75" outlineLevel="1">
      <c r="A165" s="281">
        <v>2036</v>
      </c>
      <c r="B165" s="282"/>
      <c r="C165" s="282">
        <f>C160</f>
        <v>5000000</v>
      </c>
      <c r="D165" s="282"/>
      <c r="E165" s="284"/>
      <c r="F165" s="285"/>
      <c r="G165" s="282"/>
      <c r="H165" s="286"/>
      <c r="I165" s="256"/>
      <c r="J165" s="256"/>
    </row>
    <row r="166" spans="1:10" ht="12.75" outlineLevel="1">
      <c r="A166" s="307">
        <v>49765</v>
      </c>
      <c r="B166" s="282">
        <f>A166-A159</f>
        <v>91</v>
      </c>
      <c r="C166" s="282">
        <f>C165-D166</f>
        <v>4750000</v>
      </c>
      <c r="D166" s="282">
        <v>250000</v>
      </c>
      <c r="E166" s="308">
        <f>$E$11+$E$12</f>
        <v>0.0585</v>
      </c>
      <c r="F166" s="285">
        <f>B166*C165*E166/I166</f>
        <v>72725.40983606558</v>
      </c>
      <c r="G166" s="282"/>
      <c r="H166" s="286"/>
      <c r="I166" s="256">
        <v>366</v>
      </c>
      <c r="J166" s="256"/>
    </row>
    <row r="167" spans="1:10" ht="12.75" outlineLevel="1">
      <c r="A167" s="307">
        <v>49856</v>
      </c>
      <c r="B167" s="282">
        <f>A167-A166</f>
        <v>91</v>
      </c>
      <c r="C167" s="282">
        <f>C166-D167</f>
        <v>4500000</v>
      </c>
      <c r="D167" s="282">
        <v>250000</v>
      </c>
      <c r="E167" s="308">
        <f>$E$11+$E$12</f>
        <v>0.0585</v>
      </c>
      <c r="F167" s="285">
        <f>B167*C166*E167/I167</f>
        <v>69089.1393442623</v>
      </c>
      <c r="G167" s="282"/>
      <c r="H167" s="286"/>
      <c r="I167" s="256">
        <v>366</v>
      </c>
      <c r="J167" s="256"/>
    </row>
    <row r="168" spans="1:10" ht="12.75" outlineLevel="1">
      <c r="A168" s="307">
        <v>49948</v>
      </c>
      <c r="B168" s="282">
        <f>A168-A167</f>
        <v>92</v>
      </c>
      <c r="C168" s="282">
        <f>C167-D168</f>
        <v>4250000</v>
      </c>
      <c r="D168" s="282">
        <v>250000</v>
      </c>
      <c r="E168" s="308">
        <f>$E$11+$E$12</f>
        <v>0.0585</v>
      </c>
      <c r="F168" s="285">
        <f>B168*C167*E168/I168</f>
        <v>66172.13114754099</v>
      </c>
      <c r="G168" s="282"/>
      <c r="H168" s="286"/>
      <c r="I168" s="256">
        <v>366</v>
      </c>
      <c r="J168" s="256"/>
    </row>
    <row r="169" spans="1:10" ht="12.75" outlineLevel="1">
      <c r="A169" s="307">
        <v>50040</v>
      </c>
      <c r="B169" s="282">
        <f>A169-A168</f>
        <v>92</v>
      </c>
      <c r="C169" s="282">
        <f>C168-D169</f>
        <v>4000000</v>
      </c>
      <c r="D169" s="282">
        <v>250000</v>
      </c>
      <c r="E169" s="308">
        <f>$E$11+$E$12</f>
        <v>0.0585</v>
      </c>
      <c r="F169" s="285">
        <f>B169*C168*E169/I169</f>
        <v>62495.901639344265</v>
      </c>
      <c r="G169" s="282"/>
      <c r="H169" s="286"/>
      <c r="I169" s="256">
        <v>366</v>
      </c>
      <c r="J169" s="256"/>
    </row>
    <row r="170" spans="1:10" ht="12.75" outlineLevel="1">
      <c r="A170" s="309"/>
      <c r="B170" s="288"/>
      <c r="C170" s="288">
        <f>C169</f>
        <v>4000000</v>
      </c>
      <c r="D170" s="288">
        <f>SUM(D166:D169)</f>
        <v>1000000</v>
      </c>
      <c r="E170" s="289"/>
      <c r="F170" s="274">
        <f>SUM(F166:F169)</f>
        <v>270482.58196721313</v>
      </c>
      <c r="G170" s="288"/>
      <c r="H170" s="290"/>
      <c r="I170" s="256"/>
      <c r="J170" s="256"/>
    </row>
    <row r="171" spans="1:10" ht="12.75" outlineLevel="1">
      <c r="A171" s="310"/>
      <c r="B171" s="311"/>
      <c r="C171" s="311"/>
      <c r="D171" s="311"/>
      <c r="E171" s="314"/>
      <c r="F171" s="315"/>
      <c r="G171" s="311"/>
      <c r="H171" s="313"/>
      <c r="I171" s="256"/>
      <c r="J171" s="256"/>
    </row>
    <row r="172" spans="1:10" ht="12.75" outlineLevel="1">
      <c r="A172" s="864" t="s">
        <v>113</v>
      </c>
      <c r="B172" s="864"/>
      <c r="C172" s="864"/>
      <c r="D172" s="864"/>
      <c r="E172" s="864"/>
      <c r="F172" s="864"/>
      <c r="G172" s="864"/>
      <c r="H172" s="864"/>
      <c r="I172" s="256"/>
      <c r="J172" s="256"/>
    </row>
    <row r="173" spans="1:10" ht="12.75" outlineLevel="1">
      <c r="A173" s="271"/>
      <c r="B173" s="272"/>
      <c r="C173" s="272"/>
      <c r="D173" s="272"/>
      <c r="E173" s="273"/>
      <c r="F173" s="274"/>
      <c r="G173" s="272"/>
      <c r="H173" s="275"/>
      <c r="I173" s="256"/>
      <c r="J173" s="256"/>
    </row>
    <row r="174" spans="1:10" ht="22.5" outlineLevel="1">
      <c r="A174" s="276" t="s">
        <v>114</v>
      </c>
      <c r="B174" s="277" t="s">
        <v>115</v>
      </c>
      <c r="C174" s="277" t="s">
        <v>116</v>
      </c>
      <c r="D174" s="277" t="s">
        <v>117</v>
      </c>
      <c r="E174" s="278" t="s">
        <v>118</v>
      </c>
      <c r="F174" s="279" t="s">
        <v>48</v>
      </c>
      <c r="G174" s="277"/>
      <c r="H174" s="280"/>
      <c r="I174" s="256"/>
      <c r="J174" s="256"/>
    </row>
    <row r="175" spans="1:10" ht="12.75" outlineLevel="1">
      <c r="A175" s="281" t="s">
        <v>135</v>
      </c>
      <c r="B175" s="282"/>
      <c r="C175" s="282">
        <f>C170</f>
        <v>4000000</v>
      </c>
      <c r="D175" s="282"/>
      <c r="E175" s="284"/>
      <c r="F175" s="285"/>
      <c r="G175" s="282"/>
      <c r="H175" s="286"/>
      <c r="I175" s="256"/>
      <c r="J175" s="256"/>
    </row>
    <row r="176" spans="1:10" ht="12.75" outlineLevel="1">
      <c r="A176" s="307">
        <v>50130</v>
      </c>
      <c r="B176" s="282">
        <v>90</v>
      </c>
      <c r="C176" s="282">
        <f>C175-D176</f>
        <v>3750000</v>
      </c>
      <c r="D176" s="282">
        <v>250000</v>
      </c>
      <c r="E176" s="308">
        <f>$E$11+$E$12</f>
        <v>0.0585</v>
      </c>
      <c r="F176" s="285">
        <f>B176*C175*E176/I176</f>
        <v>57698.6301369863</v>
      </c>
      <c r="G176" s="282"/>
      <c r="H176" s="286"/>
      <c r="I176" s="256">
        <v>365</v>
      </c>
      <c r="J176" s="256"/>
    </row>
    <row r="177" spans="1:10" ht="12.75" outlineLevel="1">
      <c r="A177" s="307">
        <v>50221</v>
      </c>
      <c r="B177" s="282">
        <f>A177-A176</f>
        <v>91</v>
      </c>
      <c r="C177" s="282">
        <f>C176-D177</f>
        <v>3500000</v>
      </c>
      <c r="D177" s="282">
        <v>250000</v>
      </c>
      <c r="E177" s="308">
        <f>$E$11+$E$12</f>
        <v>0.0585</v>
      </c>
      <c r="F177" s="285">
        <f>B177*C176*E177/I177</f>
        <v>54693.49315068493</v>
      </c>
      <c r="G177" s="282"/>
      <c r="H177" s="286"/>
      <c r="I177" s="256">
        <v>365</v>
      </c>
      <c r="J177" s="256"/>
    </row>
    <row r="178" spans="1:10" ht="12.75" outlineLevel="1">
      <c r="A178" s="307">
        <v>50313</v>
      </c>
      <c r="B178" s="282">
        <f>A178-A177</f>
        <v>92</v>
      </c>
      <c r="C178" s="282">
        <f>C177-D178</f>
        <v>3250000</v>
      </c>
      <c r="D178" s="282">
        <v>250000</v>
      </c>
      <c r="E178" s="308">
        <f>$E$11+$E$12</f>
        <v>0.0585</v>
      </c>
      <c r="F178" s="285">
        <f>B178*C177*E178/I178</f>
        <v>51608.21917808219</v>
      </c>
      <c r="G178" s="282"/>
      <c r="H178" s="286"/>
      <c r="I178" s="256">
        <v>365</v>
      </c>
      <c r="J178" s="256"/>
    </row>
    <row r="179" spans="1:10" ht="12.75" outlineLevel="1">
      <c r="A179" s="307">
        <v>50405</v>
      </c>
      <c r="B179" s="282">
        <f>A179-A178</f>
        <v>92</v>
      </c>
      <c r="C179" s="282">
        <f>C178-D179</f>
        <v>3000000</v>
      </c>
      <c r="D179" s="282">
        <v>250000</v>
      </c>
      <c r="E179" s="308">
        <f>$E$11+$E$12</f>
        <v>0.0585</v>
      </c>
      <c r="F179" s="285">
        <f>B179*C178*E179/I179</f>
        <v>47921.91780821918</v>
      </c>
      <c r="G179" s="282"/>
      <c r="H179" s="286"/>
      <c r="I179" s="256">
        <v>365</v>
      </c>
      <c r="J179" s="256"/>
    </row>
    <row r="180" spans="1:10" ht="12.75" outlineLevel="1">
      <c r="A180" s="309"/>
      <c r="B180" s="288"/>
      <c r="C180" s="288">
        <f>C179</f>
        <v>3000000</v>
      </c>
      <c r="D180" s="288">
        <f>SUM(D176:D179)</f>
        <v>1000000</v>
      </c>
      <c r="E180" s="289"/>
      <c r="F180" s="274">
        <f>SUM(F176:F179)</f>
        <v>211922.2602739726</v>
      </c>
      <c r="G180" s="288"/>
      <c r="H180" s="290"/>
      <c r="I180" s="256"/>
      <c r="J180" s="256"/>
    </row>
    <row r="181" spans="1:10" ht="12.75" outlineLevel="1">
      <c r="A181" s="256"/>
      <c r="B181" s="255"/>
      <c r="C181" s="255"/>
      <c r="D181" s="255"/>
      <c r="E181" s="257"/>
      <c r="F181" s="258"/>
      <c r="G181" s="255"/>
      <c r="H181" s="255"/>
      <c r="I181" s="256"/>
      <c r="J181" s="256"/>
    </row>
    <row r="182" spans="1:9" ht="12.75" outlineLevel="1">
      <c r="A182" s="864" t="s">
        <v>113</v>
      </c>
      <c r="B182" s="864"/>
      <c r="C182" s="864"/>
      <c r="D182" s="864"/>
      <c r="E182" s="864"/>
      <c r="F182" s="864"/>
      <c r="G182" s="864"/>
      <c r="H182" s="864"/>
      <c r="I182" s="256"/>
    </row>
    <row r="183" spans="1:9" ht="12.75" outlineLevel="1">
      <c r="A183" s="271"/>
      <c r="B183" s="272"/>
      <c r="C183" s="272"/>
      <c r="D183" s="272"/>
      <c r="E183" s="273"/>
      <c r="F183" s="274"/>
      <c r="G183" s="272"/>
      <c r="H183" s="275"/>
      <c r="I183" s="256"/>
    </row>
    <row r="184" spans="1:9" ht="22.5" outlineLevel="1">
      <c r="A184" s="276" t="s">
        <v>114</v>
      </c>
      <c r="B184" s="277" t="s">
        <v>115</v>
      </c>
      <c r="C184" s="277" t="s">
        <v>116</v>
      </c>
      <c r="D184" s="277" t="s">
        <v>117</v>
      </c>
      <c r="E184" s="278" t="s">
        <v>118</v>
      </c>
      <c r="F184" s="279" t="s">
        <v>48</v>
      </c>
      <c r="G184" s="277"/>
      <c r="H184" s="280"/>
      <c r="I184" s="256"/>
    </row>
    <row r="185" spans="1:9" ht="12.75" outlineLevel="1">
      <c r="A185" s="281" t="s">
        <v>136</v>
      </c>
      <c r="B185" s="282"/>
      <c r="C185" s="282">
        <f>C180</f>
        <v>3000000</v>
      </c>
      <c r="D185" s="282"/>
      <c r="E185" s="284"/>
      <c r="F185" s="285"/>
      <c r="G185" s="282"/>
      <c r="H185" s="286"/>
      <c r="I185" s="256"/>
    </row>
    <row r="186" spans="1:9" ht="12.75" outlineLevel="1">
      <c r="A186" s="307">
        <v>50495</v>
      </c>
      <c r="B186" s="282">
        <f>A186-A179</f>
        <v>90</v>
      </c>
      <c r="C186" s="282">
        <f>C185-D186</f>
        <v>2750000</v>
      </c>
      <c r="D186" s="282">
        <v>250000</v>
      </c>
      <c r="E186" s="308">
        <f>$E$11+$E$12</f>
        <v>0.0585</v>
      </c>
      <c r="F186" s="285">
        <f>B186*C185*E186/I186</f>
        <v>43273.97260273973</v>
      </c>
      <c r="G186" s="282"/>
      <c r="H186" s="286"/>
      <c r="I186" s="256">
        <v>365</v>
      </c>
    </row>
    <row r="187" spans="1:9" ht="12.75" outlineLevel="1">
      <c r="A187" s="307">
        <v>50586</v>
      </c>
      <c r="B187" s="282">
        <f>A187-A186</f>
        <v>91</v>
      </c>
      <c r="C187" s="282">
        <f>C186-D187</f>
        <v>2500000</v>
      </c>
      <c r="D187" s="282">
        <v>250000</v>
      </c>
      <c r="E187" s="308">
        <f>$E$11+$E$12</f>
        <v>0.0585</v>
      </c>
      <c r="F187" s="285">
        <f>B187*C186*E187/I187</f>
        <v>40108.561643835616</v>
      </c>
      <c r="G187" s="282"/>
      <c r="H187" s="286"/>
      <c r="I187" s="256">
        <v>365</v>
      </c>
    </row>
    <row r="188" spans="1:10" ht="12.75" outlineLevel="1">
      <c r="A188" s="307">
        <v>50678</v>
      </c>
      <c r="B188" s="282">
        <f>A188-A187</f>
        <v>92</v>
      </c>
      <c r="C188" s="282">
        <f>C187-D188</f>
        <v>2250000</v>
      </c>
      <c r="D188" s="282">
        <v>250000</v>
      </c>
      <c r="E188" s="308">
        <f>$E$11+$E$12</f>
        <v>0.0585</v>
      </c>
      <c r="F188" s="285">
        <f>B188*C187*E188/I188</f>
        <v>36863.01369863014</v>
      </c>
      <c r="G188" s="282"/>
      <c r="H188" s="286"/>
      <c r="I188" s="256">
        <v>365</v>
      </c>
      <c r="J188" s="256"/>
    </row>
    <row r="189" spans="1:10" ht="12.75" outlineLevel="1">
      <c r="A189" s="307">
        <v>50770</v>
      </c>
      <c r="B189" s="282">
        <f>A189-A188</f>
        <v>92</v>
      </c>
      <c r="C189" s="282">
        <f>C188-D189</f>
        <v>2000000</v>
      </c>
      <c r="D189" s="282">
        <v>250000</v>
      </c>
      <c r="E189" s="308">
        <f>$E$11+$E$12</f>
        <v>0.0585</v>
      </c>
      <c r="F189" s="285">
        <f>B189*C188*E189/I189</f>
        <v>33176.71232876712</v>
      </c>
      <c r="G189" s="282"/>
      <c r="H189" s="286"/>
      <c r="I189" s="256">
        <v>365</v>
      </c>
      <c r="J189" s="256"/>
    </row>
    <row r="190" spans="1:9" ht="12.75" outlineLevel="1">
      <c r="A190" s="309"/>
      <c r="B190" s="288"/>
      <c r="C190" s="288">
        <f>C189</f>
        <v>2000000</v>
      </c>
      <c r="D190" s="288">
        <f>SUM(D186:D189)</f>
        <v>1000000</v>
      </c>
      <c r="E190" s="289"/>
      <c r="F190" s="274">
        <f>SUM(F186:F189)</f>
        <v>153422.2602739726</v>
      </c>
      <c r="G190" s="288"/>
      <c r="H190" s="290"/>
      <c r="I190" s="256"/>
    </row>
    <row r="191" ht="12.75" outlineLevel="1"/>
    <row r="192" spans="1:9" ht="12.75" outlineLevel="1">
      <c r="A192" s="864" t="s">
        <v>113</v>
      </c>
      <c r="B192" s="864"/>
      <c r="C192" s="864"/>
      <c r="D192" s="864"/>
      <c r="E192" s="864"/>
      <c r="F192" s="864"/>
      <c r="G192" s="864"/>
      <c r="H192" s="864"/>
      <c r="I192" s="256"/>
    </row>
    <row r="193" spans="1:9" ht="12.75" outlineLevel="1">
      <c r="A193" s="271"/>
      <c r="B193" s="272"/>
      <c r="C193" s="272"/>
      <c r="D193" s="272"/>
      <c r="E193" s="273"/>
      <c r="F193" s="274"/>
      <c r="G193" s="272"/>
      <c r="H193" s="275"/>
      <c r="I193" s="256"/>
    </row>
    <row r="194" spans="1:9" ht="22.5" outlineLevel="1">
      <c r="A194" s="276" t="s">
        <v>114</v>
      </c>
      <c r="B194" s="277" t="s">
        <v>115</v>
      </c>
      <c r="C194" s="277" t="s">
        <v>116</v>
      </c>
      <c r="D194" s="277" t="s">
        <v>117</v>
      </c>
      <c r="E194" s="278" t="s">
        <v>118</v>
      </c>
      <c r="F194" s="279" t="s">
        <v>48</v>
      </c>
      <c r="G194" s="277"/>
      <c r="H194" s="280"/>
      <c r="I194" s="256"/>
    </row>
    <row r="195" spans="1:9" ht="12.75" outlineLevel="1">
      <c r="A195" s="281" t="s">
        <v>137</v>
      </c>
      <c r="B195" s="282"/>
      <c r="C195" s="282">
        <f>C190</f>
        <v>2000000</v>
      </c>
      <c r="D195" s="282"/>
      <c r="E195" s="284"/>
      <c r="F195" s="285"/>
      <c r="G195" s="282"/>
      <c r="H195" s="286"/>
      <c r="I195" s="256"/>
    </row>
    <row r="196" spans="1:9" ht="12.75" outlineLevel="1">
      <c r="A196" s="307">
        <v>50860</v>
      </c>
      <c r="B196" s="282">
        <f>A196-A189</f>
        <v>90</v>
      </c>
      <c r="C196" s="282">
        <f>C195-D196</f>
        <v>1750000</v>
      </c>
      <c r="D196" s="282">
        <v>250000</v>
      </c>
      <c r="E196" s="308">
        <f>$E$11+$E$12</f>
        <v>0.0585</v>
      </c>
      <c r="F196" s="285">
        <f>B196*C195*E196/I196</f>
        <v>28849.31506849315</v>
      </c>
      <c r="G196" s="282"/>
      <c r="H196" s="286"/>
      <c r="I196" s="256">
        <v>365</v>
      </c>
    </row>
    <row r="197" spans="1:9" ht="12.75" outlineLevel="1">
      <c r="A197" s="307">
        <v>50951</v>
      </c>
      <c r="B197" s="282">
        <f>A197-A196</f>
        <v>91</v>
      </c>
      <c r="C197" s="282">
        <f>C196-D197</f>
        <v>1500000</v>
      </c>
      <c r="D197" s="282">
        <v>250000</v>
      </c>
      <c r="E197" s="308">
        <f>$E$11+$E$12</f>
        <v>0.0585</v>
      </c>
      <c r="F197" s="285">
        <f>B197*C196*E197/I197</f>
        <v>25523.630136986303</v>
      </c>
      <c r="G197" s="282"/>
      <c r="H197" s="286"/>
      <c r="I197" s="256">
        <v>365</v>
      </c>
    </row>
    <row r="198" spans="1:9" ht="12.75" outlineLevel="1">
      <c r="A198" s="307">
        <v>51043</v>
      </c>
      <c r="B198" s="282">
        <f>A198-A197</f>
        <v>92</v>
      </c>
      <c r="C198" s="282">
        <f>C197-D198</f>
        <v>1250000</v>
      </c>
      <c r="D198" s="282">
        <v>250000</v>
      </c>
      <c r="E198" s="308">
        <f>$E$11+$E$12</f>
        <v>0.0585</v>
      </c>
      <c r="F198" s="285">
        <f>B198*C197*E198/I198</f>
        <v>22117.808219178085</v>
      </c>
      <c r="G198" s="282"/>
      <c r="H198" s="286"/>
      <c r="I198" s="256">
        <v>365</v>
      </c>
    </row>
    <row r="199" spans="1:9" ht="12.75" outlineLevel="1">
      <c r="A199" s="307">
        <v>51135</v>
      </c>
      <c r="B199" s="282">
        <f>A199-A198</f>
        <v>92</v>
      </c>
      <c r="C199" s="282">
        <f>C198-D199</f>
        <v>1000000</v>
      </c>
      <c r="D199" s="282">
        <v>250000</v>
      </c>
      <c r="E199" s="308">
        <f>$E$11+$E$12</f>
        <v>0.0585</v>
      </c>
      <c r="F199" s="285">
        <f>B199*C198*E199/I199</f>
        <v>18431.50684931507</v>
      </c>
      <c r="G199" s="282"/>
      <c r="H199" s="286"/>
      <c r="I199" s="256">
        <v>365</v>
      </c>
    </row>
    <row r="200" spans="1:9" ht="12.75" outlineLevel="1">
      <c r="A200" s="309"/>
      <c r="B200" s="288"/>
      <c r="C200" s="288">
        <f>C199</f>
        <v>1000000</v>
      </c>
      <c r="D200" s="288">
        <f>SUM(D196:D199)</f>
        <v>1000000</v>
      </c>
      <c r="E200" s="289"/>
      <c r="F200" s="274">
        <f>SUM(F196:F199)</f>
        <v>94922.26027397261</v>
      </c>
      <c r="G200" s="288"/>
      <c r="H200" s="290"/>
      <c r="I200" s="256"/>
    </row>
    <row r="201" ht="12.75" outlineLevel="1"/>
    <row r="202" spans="1:9" ht="12.75" outlineLevel="1">
      <c r="A202" s="864" t="s">
        <v>113</v>
      </c>
      <c r="B202" s="864"/>
      <c r="C202" s="864"/>
      <c r="D202" s="864"/>
      <c r="E202" s="864"/>
      <c r="F202" s="864"/>
      <c r="G202" s="864"/>
      <c r="H202" s="864"/>
      <c r="I202" s="256"/>
    </row>
    <row r="203" spans="1:9" ht="12.75" outlineLevel="1">
      <c r="A203" s="271"/>
      <c r="B203" s="272"/>
      <c r="C203" s="272"/>
      <c r="D203" s="272"/>
      <c r="E203" s="273"/>
      <c r="F203" s="274"/>
      <c r="G203" s="272"/>
      <c r="H203" s="275"/>
      <c r="I203" s="256"/>
    </row>
    <row r="204" spans="1:9" ht="22.5" outlineLevel="1">
      <c r="A204" s="276" t="s">
        <v>114</v>
      </c>
      <c r="B204" s="277" t="s">
        <v>115</v>
      </c>
      <c r="C204" s="277" t="s">
        <v>116</v>
      </c>
      <c r="D204" s="277" t="s">
        <v>117</v>
      </c>
      <c r="E204" s="278" t="s">
        <v>118</v>
      </c>
      <c r="F204" s="279" t="s">
        <v>48</v>
      </c>
      <c r="G204" s="277"/>
      <c r="H204" s="280"/>
      <c r="I204" s="256"/>
    </row>
    <row r="205" spans="1:9" ht="12.75" outlineLevel="1">
      <c r="A205" s="281" t="s">
        <v>138</v>
      </c>
      <c r="B205" s="282"/>
      <c r="C205" s="282">
        <f>C200</f>
        <v>1000000</v>
      </c>
      <c r="D205" s="282"/>
      <c r="E205" s="284"/>
      <c r="F205" s="285"/>
      <c r="G205" s="282"/>
      <c r="H205" s="286"/>
      <c r="I205" s="256"/>
    </row>
    <row r="206" spans="1:10" ht="12.75" outlineLevel="1">
      <c r="A206" s="307">
        <v>51226</v>
      </c>
      <c r="B206" s="282">
        <f>A206-A199</f>
        <v>91</v>
      </c>
      <c r="C206" s="282">
        <f>C205-D206</f>
        <v>750000</v>
      </c>
      <c r="D206" s="282">
        <v>250000</v>
      </c>
      <c r="E206" s="308">
        <f>$E$11+$E$12</f>
        <v>0.0585</v>
      </c>
      <c r="F206" s="285">
        <f>B206*C205*E206/I206</f>
        <v>14545.081967213115</v>
      </c>
      <c r="G206" s="282"/>
      <c r="H206" s="286"/>
      <c r="I206" s="256">
        <v>366</v>
      </c>
      <c r="J206" s="256"/>
    </row>
    <row r="207" spans="1:10" ht="12.75" outlineLevel="1">
      <c r="A207" s="307">
        <v>51317</v>
      </c>
      <c r="B207" s="282">
        <f>A207-A206</f>
        <v>91</v>
      </c>
      <c r="C207" s="282">
        <f>C206-D207</f>
        <v>500000</v>
      </c>
      <c r="D207" s="282">
        <v>250000</v>
      </c>
      <c r="E207" s="308">
        <f>$E$11+$E$12</f>
        <v>0.0585</v>
      </c>
      <c r="F207" s="285">
        <f>B207*C206*E207/I207</f>
        <v>10908.811475409837</v>
      </c>
      <c r="G207" s="282"/>
      <c r="H207" s="286"/>
      <c r="I207" s="256">
        <v>366</v>
      </c>
      <c r="J207" s="256"/>
    </row>
    <row r="208" spans="1:10" ht="12.75" outlineLevel="1">
      <c r="A208" s="307">
        <v>51409</v>
      </c>
      <c r="B208" s="282">
        <f>A208-A207</f>
        <v>92</v>
      </c>
      <c r="C208" s="282">
        <f>C207-D208</f>
        <v>250000</v>
      </c>
      <c r="D208" s="282">
        <v>250000</v>
      </c>
      <c r="E208" s="308">
        <f>$E$11+$E$12</f>
        <v>0.0585</v>
      </c>
      <c r="F208" s="285">
        <f>B208*C207*E208/I208</f>
        <v>7352.459016393443</v>
      </c>
      <c r="G208" s="282"/>
      <c r="H208" s="286"/>
      <c r="I208" s="256">
        <v>366</v>
      </c>
      <c r="J208" s="256"/>
    </row>
    <row r="209" spans="1:10" ht="12.75" outlineLevel="1">
      <c r="A209" s="307">
        <v>51501</v>
      </c>
      <c r="B209" s="282">
        <f>A209-A208</f>
        <v>92</v>
      </c>
      <c r="C209" s="282">
        <f>C208-D209</f>
        <v>0</v>
      </c>
      <c r="D209" s="282">
        <v>250000</v>
      </c>
      <c r="E209" s="308">
        <f>$E$11+$E$12</f>
        <v>0.0585</v>
      </c>
      <c r="F209" s="285">
        <f>B209*C208*E209/I209</f>
        <v>3676.2295081967213</v>
      </c>
      <c r="G209" s="282"/>
      <c r="H209" s="286"/>
      <c r="I209" s="256">
        <v>366</v>
      </c>
      <c r="J209" s="256"/>
    </row>
    <row r="210" spans="1:10" ht="12.75" outlineLevel="1">
      <c r="A210" s="309"/>
      <c r="B210" s="288"/>
      <c r="C210" s="288">
        <f>C209</f>
        <v>0</v>
      </c>
      <c r="D210" s="288">
        <f>SUM(D205:D209)</f>
        <v>1000000</v>
      </c>
      <c r="E210" s="289"/>
      <c r="F210" s="274">
        <f>SUM(F206:F209)</f>
        <v>36482.58196721312</v>
      </c>
      <c r="G210" s="288"/>
      <c r="H210" s="290"/>
      <c r="I210" s="256"/>
      <c r="J210" s="256"/>
    </row>
    <row r="211" spans="1:10" ht="12.75" outlineLevel="1">
      <c r="A211" s="256"/>
      <c r="B211" s="255"/>
      <c r="G211" s="255"/>
      <c r="H211" s="255"/>
      <c r="I211" s="256"/>
      <c r="J211" s="256"/>
    </row>
    <row r="212" spans="1:9" ht="12.75" outlineLevel="1">
      <c r="A212" s="864" t="s">
        <v>113</v>
      </c>
      <c r="B212" s="864"/>
      <c r="C212" s="864"/>
      <c r="D212" s="864"/>
      <c r="E212" s="864"/>
      <c r="F212" s="864"/>
      <c r="G212" s="864"/>
      <c r="H212" s="864"/>
      <c r="I212" s="256"/>
    </row>
    <row r="213" spans="1:9" ht="12.75" outlineLevel="1">
      <c r="A213" s="271"/>
      <c r="B213" s="272"/>
      <c r="C213" s="272"/>
      <c r="D213" s="272"/>
      <c r="E213" s="273"/>
      <c r="F213" s="274"/>
      <c r="G213" s="272"/>
      <c r="H213" s="275"/>
      <c r="I213" s="256"/>
    </row>
    <row r="214" spans="1:9" ht="22.5" outlineLevel="1">
      <c r="A214" s="276" t="s">
        <v>114</v>
      </c>
      <c r="B214" s="277" t="s">
        <v>115</v>
      </c>
      <c r="C214" s="277" t="s">
        <v>116</v>
      </c>
      <c r="D214" s="277" t="s">
        <v>117</v>
      </c>
      <c r="E214" s="278" t="s">
        <v>118</v>
      </c>
      <c r="F214" s="279" t="s">
        <v>48</v>
      </c>
      <c r="G214" s="277"/>
      <c r="H214" s="280"/>
      <c r="I214" s="256"/>
    </row>
    <row r="215" spans="1:9" ht="12.75" outlineLevel="1">
      <c r="A215" s="281" t="s">
        <v>139</v>
      </c>
      <c r="B215" s="282"/>
      <c r="C215" s="282">
        <f>C210</f>
        <v>0</v>
      </c>
      <c r="D215" s="282"/>
      <c r="E215" s="284"/>
      <c r="F215" s="285"/>
      <c r="G215" s="282"/>
      <c r="H215" s="286"/>
      <c r="I215" s="256"/>
    </row>
    <row r="216" spans="1:9" ht="12.75" outlineLevel="1">
      <c r="A216" s="307">
        <v>51591</v>
      </c>
      <c r="B216" s="282">
        <f>A216-A209</f>
        <v>90</v>
      </c>
      <c r="C216" s="282">
        <f>C215-D216</f>
        <v>0</v>
      </c>
      <c r="D216" s="282"/>
      <c r="E216" s="308">
        <f>$E$11+$E$12</f>
        <v>0.0585</v>
      </c>
      <c r="F216" s="285">
        <f>B216*C215*E216/I216</f>
        <v>0</v>
      </c>
      <c r="G216" s="282"/>
      <c r="H216" s="286"/>
      <c r="I216" s="256">
        <v>365</v>
      </c>
    </row>
    <row r="217" spans="1:9" ht="12.75" outlineLevel="1">
      <c r="A217" s="307">
        <v>51682</v>
      </c>
      <c r="B217" s="282">
        <f>A217-A216</f>
        <v>91</v>
      </c>
      <c r="C217" s="282">
        <f>C216-D217</f>
        <v>0</v>
      </c>
      <c r="D217" s="282"/>
      <c r="E217" s="308">
        <f>$E$11+$E$12</f>
        <v>0.0585</v>
      </c>
      <c r="F217" s="285">
        <f>B217*C216*E217/I217</f>
        <v>0</v>
      </c>
      <c r="G217" s="282"/>
      <c r="H217" s="286"/>
      <c r="I217" s="256">
        <v>365</v>
      </c>
    </row>
    <row r="218" spans="1:9" ht="12.75" outlineLevel="1">
      <c r="A218" s="307">
        <v>51774</v>
      </c>
      <c r="B218" s="282">
        <f>A218-A217</f>
        <v>92</v>
      </c>
      <c r="C218" s="282">
        <f>C217-D218</f>
        <v>0</v>
      </c>
      <c r="D218" s="282"/>
      <c r="E218" s="308">
        <f>$E$11+$E$12</f>
        <v>0.0585</v>
      </c>
      <c r="F218" s="285">
        <f>B218*C217*E218/I218</f>
        <v>0</v>
      </c>
      <c r="G218" s="282"/>
      <c r="H218" s="286"/>
      <c r="I218" s="256">
        <v>365</v>
      </c>
    </row>
    <row r="219" spans="1:9" ht="12.75" outlineLevel="1">
      <c r="A219" s="307">
        <v>51866</v>
      </c>
      <c r="B219" s="282">
        <f>A219-A218</f>
        <v>92</v>
      </c>
      <c r="C219" s="282">
        <f>C218-D219</f>
        <v>0</v>
      </c>
      <c r="D219" s="282"/>
      <c r="E219" s="308">
        <f>$E$11+$E$12</f>
        <v>0.0585</v>
      </c>
      <c r="F219" s="285">
        <f>B219*C218*E219/I219</f>
        <v>0</v>
      </c>
      <c r="G219" s="282"/>
      <c r="H219" s="286"/>
      <c r="I219" s="256">
        <v>365</v>
      </c>
    </row>
    <row r="220" spans="1:9" ht="12.75" outlineLevel="1">
      <c r="A220" s="309"/>
      <c r="B220" s="288"/>
      <c r="C220" s="288">
        <f>C219</f>
        <v>0</v>
      </c>
      <c r="D220" s="288">
        <f>SUM(D216:D219)</f>
        <v>0</v>
      </c>
      <c r="E220" s="289"/>
      <c r="F220" s="274">
        <f>SUM(F216:F219)</f>
        <v>0</v>
      </c>
      <c r="G220" s="288"/>
      <c r="H220" s="290"/>
      <c r="I220" s="256"/>
    </row>
    <row r="221" ht="12.75" outlineLevel="1"/>
    <row r="222" spans="1:9" ht="12.75" outlineLevel="1">
      <c r="A222" s="864" t="s">
        <v>113</v>
      </c>
      <c r="B222" s="864"/>
      <c r="C222" s="864"/>
      <c r="D222" s="864"/>
      <c r="E222" s="864"/>
      <c r="F222" s="864"/>
      <c r="G222" s="864"/>
      <c r="H222" s="864"/>
      <c r="I222" s="256"/>
    </row>
    <row r="223" spans="1:9" ht="12.75" outlineLevel="1">
      <c r="A223" s="271"/>
      <c r="B223" s="272"/>
      <c r="C223" s="272"/>
      <c r="D223" s="272"/>
      <c r="E223" s="273"/>
      <c r="F223" s="274"/>
      <c r="G223" s="272"/>
      <c r="H223" s="275"/>
      <c r="I223" s="256"/>
    </row>
    <row r="224" spans="1:9" ht="22.5" outlineLevel="1">
      <c r="A224" s="659" t="s">
        <v>114</v>
      </c>
      <c r="B224" s="660" t="s">
        <v>115</v>
      </c>
      <c r="C224" s="660" t="s">
        <v>116</v>
      </c>
      <c r="D224" s="660" t="s">
        <v>117</v>
      </c>
      <c r="E224" s="661" t="s">
        <v>118</v>
      </c>
      <c r="F224" s="662" t="s">
        <v>48</v>
      </c>
      <c r="G224" s="660"/>
      <c r="H224" s="663"/>
      <c r="I224" s="664"/>
    </row>
    <row r="225" spans="1:9" ht="12.75" outlineLevel="1">
      <c r="A225" s="665" t="s">
        <v>210</v>
      </c>
      <c r="B225" s="666"/>
      <c r="C225" s="666">
        <f>C220</f>
        <v>0</v>
      </c>
      <c r="D225" s="666"/>
      <c r="E225" s="667"/>
      <c r="F225" s="668"/>
      <c r="G225" s="666"/>
      <c r="H225" s="669"/>
      <c r="I225" s="664"/>
    </row>
    <row r="226" spans="1:9" ht="12.75" outlineLevel="1">
      <c r="A226" s="670">
        <v>51956</v>
      </c>
      <c r="B226" s="666">
        <f>A226-A219</f>
        <v>90</v>
      </c>
      <c r="C226" s="666">
        <f>C225-D226</f>
        <v>0</v>
      </c>
      <c r="D226" s="666"/>
      <c r="E226" s="671">
        <f>$E$11+$E$12</f>
        <v>0.0585</v>
      </c>
      <c r="F226" s="668">
        <f>B226*C225*E226/I226</f>
        <v>0</v>
      </c>
      <c r="G226" s="666"/>
      <c r="H226" s="669"/>
      <c r="I226" s="664">
        <v>365</v>
      </c>
    </row>
    <row r="227" spans="1:9" ht="12.75" outlineLevel="1">
      <c r="A227" s="670">
        <v>52047</v>
      </c>
      <c r="B227" s="666">
        <f>A227-A226</f>
        <v>91</v>
      </c>
      <c r="C227" s="666">
        <f>C226-D227</f>
        <v>0</v>
      </c>
      <c r="D227" s="666"/>
      <c r="E227" s="671">
        <f>$E$11+$E$12</f>
        <v>0.0585</v>
      </c>
      <c r="F227" s="668">
        <f>B227*C226*E227/I227</f>
        <v>0</v>
      </c>
      <c r="G227" s="666"/>
      <c r="H227" s="669"/>
      <c r="I227" s="664">
        <v>365</v>
      </c>
    </row>
    <row r="228" spans="1:9" ht="12.75" outlineLevel="1">
      <c r="A228" s="670">
        <v>52139</v>
      </c>
      <c r="B228" s="666">
        <f>A228-A227</f>
        <v>92</v>
      </c>
      <c r="C228" s="666">
        <f>C227-D228</f>
        <v>0</v>
      </c>
      <c r="D228" s="666"/>
      <c r="E228" s="671">
        <f>$E$11+$E$12</f>
        <v>0.0585</v>
      </c>
      <c r="F228" s="668">
        <f>B228*C227*E228/I228</f>
        <v>0</v>
      </c>
      <c r="G228" s="666"/>
      <c r="H228" s="669"/>
      <c r="I228" s="664">
        <v>365</v>
      </c>
    </row>
    <row r="229" spans="1:9" ht="12.75" outlineLevel="1">
      <c r="A229" s="670">
        <v>52231</v>
      </c>
      <c r="B229" s="666">
        <f>A229-A228</f>
        <v>92</v>
      </c>
      <c r="C229" s="666">
        <f>C228-D229</f>
        <v>0</v>
      </c>
      <c r="D229" s="666"/>
      <c r="E229" s="671">
        <f>$E$11+$E$12</f>
        <v>0.0585</v>
      </c>
      <c r="F229" s="668">
        <f>B229*C228*E229/I229</f>
        <v>0</v>
      </c>
      <c r="G229" s="666"/>
      <c r="H229" s="669"/>
      <c r="I229" s="664">
        <v>365</v>
      </c>
    </row>
    <row r="230" spans="1:9" ht="12.75" outlineLevel="1">
      <c r="A230" s="672"/>
      <c r="B230" s="673"/>
      <c r="C230" s="673">
        <f>C229</f>
        <v>0</v>
      </c>
      <c r="D230" s="673">
        <f>SUM(D226:D229)</f>
        <v>0</v>
      </c>
      <c r="E230" s="674"/>
      <c r="F230" s="675">
        <f>SUM(F226:F229)</f>
        <v>0</v>
      </c>
      <c r="G230" s="673"/>
      <c r="H230" s="676"/>
      <c r="I230" s="664"/>
    </row>
    <row r="231" spans="1:9" ht="12.75" outlineLevel="1">
      <c r="A231" s="677"/>
      <c r="B231" s="677"/>
      <c r="C231" s="677"/>
      <c r="D231" s="677"/>
      <c r="E231" s="677"/>
      <c r="F231" s="677"/>
      <c r="G231" s="677"/>
      <c r="H231" s="677"/>
      <c r="I231" s="677"/>
    </row>
    <row r="232" spans="1:9" ht="12.75" outlineLevel="1">
      <c r="A232" s="677"/>
      <c r="B232" s="677"/>
      <c r="C232" s="677"/>
      <c r="D232" s="677"/>
      <c r="E232" s="677"/>
      <c r="F232" s="677"/>
      <c r="G232" s="677"/>
      <c r="H232" s="677"/>
      <c r="I232" s="677"/>
    </row>
    <row r="234" spans="1:9" ht="22.5">
      <c r="A234" s="659" t="s">
        <v>114</v>
      </c>
      <c r="B234" s="660" t="s">
        <v>115</v>
      </c>
      <c r="C234" s="660" t="s">
        <v>116</v>
      </c>
      <c r="D234" s="660" t="s">
        <v>117</v>
      </c>
      <c r="E234" s="661" t="s">
        <v>118</v>
      </c>
      <c r="F234" s="662" t="s">
        <v>48</v>
      </c>
      <c r="G234" s="660"/>
      <c r="H234" s="663"/>
      <c r="I234" s="664"/>
    </row>
    <row r="235" spans="1:9" ht="12.75">
      <c r="A235" s="665" t="s">
        <v>222</v>
      </c>
      <c r="B235" s="666"/>
      <c r="C235" s="666">
        <f>C230</f>
        <v>0</v>
      </c>
      <c r="D235" s="666"/>
      <c r="E235" s="667"/>
      <c r="F235" s="668"/>
      <c r="G235" s="666"/>
      <c r="H235" s="669"/>
      <c r="I235" s="664"/>
    </row>
    <row r="236" spans="1:9" ht="12.75">
      <c r="A236" s="670">
        <v>52321</v>
      </c>
      <c r="B236" s="666">
        <f>A236-A229</f>
        <v>90</v>
      </c>
      <c r="C236" s="666">
        <f>C235-D236</f>
        <v>0</v>
      </c>
      <c r="D236" s="666"/>
      <c r="E236" s="671">
        <f>$E$11+$E$12</f>
        <v>0.0585</v>
      </c>
      <c r="F236" s="668">
        <f>B236*C235*E236/I236</f>
        <v>0</v>
      </c>
      <c r="G236" s="666"/>
      <c r="H236" s="669"/>
      <c r="I236" s="664">
        <v>365</v>
      </c>
    </row>
    <row r="237" spans="1:9" ht="12.75">
      <c r="A237" s="670">
        <v>52412</v>
      </c>
      <c r="B237" s="666">
        <f>A237-A236</f>
        <v>91</v>
      </c>
      <c r="C237" s="666">
        <f>C236-D237</f>
        <v>0</v>
      </c>
      <c r="D237" s="666"/>
      <c r="E237" s="671">
        <f>$E$11+$E$12</f>
        <v>0.0585</v>
      </c>
      <c r="F237" s="668">
        <f>B237*C236*E237/I237</f>
        <v>0</v>
      </c>
      <c r="G237" s="666"/>
      <c r="H237" s="669"/>
      <c r="I237" s="664">
        <v>365</v>
      </c>
    </row>
    <row r="238" spans="1:9" ht="12.75">
      <c r="A238" s="670">
        <v>52504</v>
      </c>
      <c r="B238" s="666">
        <f>A238-A237</f>
        <v>92</v>
      </c>
      <c r="C238" s="666">
        <f>C237-D238</f>
        <v>0</v>
      </c>
      <c r="D238" s="666"/>
      <c r="E238" s="671">
        <f>$E$11+$E$12</f>
        <v>0.0585</v>
      </c>
      <c r="F238" s="668">
        <f>B238*C237*E238/I238</f>
        <v>0</v>
      </c>
      <c r="G238" s="666"/>
      <c r="H238" s="669"/>
      <c r="I238" s="664">
        <v>365</v>
      </c>
    </row>
    <row r="239" spans="1:9" ht="12.75">
      <c r="A239" s="670">
        <v>52596</v>
      </c>
      <c r="B239" s="666">
        <f>A239-A238</f>
        <v>92</v>
      </c>
      <c r="C239" s="666">
        <f>C238-D239</f>
        <v>0</v>
      </c>
      <c r="D239" s="666"/>
      <c r="E239" s="671">
        <f>$E$11+$E$12</f>
        <v>0.0585</v>
      </c>
      <c r="F239" s="668">
        <f>B239*C238*E239/I239</f>
        <v>0</v>
      </c>
      <c r="G239" s="666"/>
      <c r="H239" s="669"/>
      <c r="I239" s="664">
        <v>365</v>
      </c>
    </row>
    <row r="240" spans="1:9" ht="12.75">
      <c r="A240" s="672"/>
      <c r="B240" s="673"/>
      <c r="C240" s="673">
        <f>C239</f>
        <v>0</v>
      </c>
      <c r="D240" s="673">
        <f>SUM(D236:D239)</f>
        <v>0</v>
      </c>
      <c r="E240" s="674"/>
      <c r="F240" s="675">
        <f>SUM(F236:F239)</f>
        <v>0</v>
      </c>
      <c r="G240" s="673"/>
      <c r="H240" s="676"/>
      <c r="I240" s="664"/>
    </row>
    <row r="241" spans="1:9" ht="12.75">
      <c r="A241" s="677"/>
      <c r="B241" s="677"/>
      <c r="C241" s="677"/>
      <c r="D241" s="677"/>
      <c r="E241" s="677"/>
      <c r="F241" s="677"/>
      <c r="G241" s="677"/>
      <c r="H241" s="677"/>
      <c r="I241" s="677"/>
    </row>
    <row r="242" spans="1:9" ht="12.75">
      <c r="A242" s="677"/>
      <c r="B242" s="677"/>
      <c r="C242" s="677"/>
      <c r="D242" s="677"/>
      <c r="E242" s="677"/>
      <c r="F242" s="677"/>
      <c r="G242" s="677"/>
      <c r="H242" s="677"/>
      <c r="I242" s="677"/>
    </row>
    <row r="243" spans="1:8" ht="22.5">
      <c r="A243" s="659" t="s">
        <v>114</v>
      </c>
      <c r="B243" s="660" t="s">
        <v>115</v>
      </c>
      <c r="C243" s="660" t="s">
        <v>116</v>
      </c>
      <c r="D243" s="660" t="s">
        <v>117</v>
      </c>
      <c r="E243" s="661" t="s">
        <v>118</v>
      </c>
      <c r="F243" s="662" t="s">
        <v>48</v>
      </c>
      <c r="G243" s="660"/>
      <c r="H243" s="663"/>
    </row>
    <row r="244" spans="1:8" ht="12.75">
      <c r="A244" s="665" t="s">
        <v>220</v>
      </c>
      <c r="B244" s="666"/>
      <c r="C244" s="666">
        <f>C239</f>
        <v>0</v>
      </c>
      <c r="D244" s="666"/>
      <c r="E244" s="667"/>
      <c r="F244" s="668"/>
      <c r="G244" s="666"/>
      <c r="H244" s="669"/>
    </row>
    <row r="245" spans="1:9" ht="12.75">
      <c r="A245" s="670">
        <v>52687</v>
      </c>
      <c r="B245" s="666">
        <f>A245-A239</f>
        <v>91</v>
      </c>
      <c r="C245" s="666">
        <f>C244-D245</f>
        <v>0</v>
      </c>
      <c r="D245" s="666"/>
      <c r="E245" s="671">
        <f>$E$11+$E$12</f>
        <v>0.0585</v>
      </c>
      <c r="F245" s="668">
        <f>B245*C244*E245/I245</f>
        <v>0</v>
      </c>
      <c r="G245" s="666"/>
      <c r="H245" s="669"/>
      <c r="I245">
        <v>366</v>
      </c>
    </row>
    <row r="246" spans="1:9" ht="12.75">
      <c r="A246" s="670">
        <v>52778</v>
      </c>
      <c r="B246" s="666">
        <f>A246-A245</f>
        <v>91</v>
      </c>
      <c r="C246" s="666">
        <f>C245-D246</f>
        <v>0</v>
      </c>
      <c r="D246" s="666"/>
      <c r="E246" s="671">
        <f>$E$11+$E$12</f>
        <v>0.0585</v>
      </c>
      <c r="F246" s="668">
        <f>B246*C245*E246/I246</f>
        <v>0</v>
      </c>
      <c r="G246" s="666"/>
      <c r="H246" s="669"/>
      <c r="I246">
        <v>366</v>
      </c>
    </row>
    <row r="247" spans="1:9" ht="12.75">
      <c r="A247" s="670">
        <v>52870</v>
      </c>
      <c r="B247" s="666">
        <f>A247-A246</f>
        <v>92</v>
      </c>
      <c r="C247" s="666">
        <f>C246-D247</f>
        <v>0</v>
      </c>
      <c r="D247" s="666"/>
      <c r="E247" s="671">
        <f>$E$11+$E$12</f>
        <v>0.0585</v>
      </c>
      <c r="F247" s="668">
        <f>B247*C246*E247/I247</f>
        <v>0</v>
      </c>
      <c r="G247" s="666"/>
      <c r="H247" s="669"/>
      <c r="I247">
        <v>366</v>
      </c>
    </row>
    <row r="248" spans="1:9" ht="12.75" customHeight="1">
      <c r="A248" s="670">
        <v>52962</v>
      </c>
      <c r="B248" s="666">
        <f>A248-A247</f>
        <v>92</v>
      </c>
      <c r="C248" s="666">
        <f>C247-D248</f>
        <v>0</v>
      </c>
      <c r="D248" s="666"/>
      <c r="E248" s="671">
        <f>$E$11+$E$12</f>
        <v>0.0585</v>
      </c>
      <c r="F248" s="668">
        <f>B248*C247*E248/I248</f>
        <v>0</v>
      </c>
      <c r="G248" s="666"/>
      <c r="H248" s="669"/>
      <c r="I248">
        <v>366</v>
      </c>
    </row>
    <row r="249" spans="1:11" ht="12.75">
      <c r="A249" s="672"/>
      <c r="B249" s="673"/>
      <c r="C249" s="673">
        <f>C248</f>
        <v>0</v>
      </c>
      <c r="D249" s="673">
        <f>SUM(D245:D248)</f>
        <v>0</v>
      </c>
      <c r="E249" s="674"/>
      <c r="F249" s="675">
        <f>SUM(F245:F248)</f>
        <v>0</v>
      </c>
      <c r="G249" s="673"/>
      <c r="H249" s="676"/>
      <c r="K249" s="555">
        <f>F249+F240+F230+F220+F210+F200+F190+F180+F170+F160+F150+F140+F130+F120+F110+F100+F90+F80+F70+F60</f>
        <v>6689075.1908825515</v>
      </c>
    </row>
    <row r="252" spans="2:5" ht="12.75">
      <c r="B252" s="255" t="s">
        <v>140</v>
      </c>
      <c r="C252" s="255" t="s">
        <v>141</v>
      </c>
      <c r="D252" s="257"/>
      <c r="E252" s="258">
        <f>F249+F230+F220+F210+F200+F190+F180+F170+F160+F150+F140+F130+F120+F110+F100+F80+F90+F70+F60</f>
        <v>6689075.1908825515</v>
      </c>
    </row>
    <row r="253" spans="2:5" ht="12.75">
      <c r="B253" s="255" t="s">
        <v>142</v>
      </c>
      <c r="C253" s="255" t="s">
        <v>141</v>
      </c>
      <c r="D253" s="257"/>
      <c r="E253" s="258">
        <v>0</v>
      </c>
    </row>
    <row r="254" spans="2:5" ht="12.75">
      <c r="B254" s="255"/>
      <c r="C254" s="255"/>
      <c r="D254" s="257"/>
      <c r="E254" s="258"/>
    </row>
    <row r="255" spans="2:5" ht="12.75">
      <c r="B255" s="316" t="s">
        <v>143</v>
      </c>
      <c r="C255" s="316" t="s">
        <v>141</v>
      </c>
      <c r="D255" s="317"/>
      <c r="E255" s="318">
        <f>E252+E253</f>
        <v>6689075.1908825515</v>
      </c>
    </row>
    <row r="256" spans="2:5" ht="12.75">
      <c r="B256" s="316" t="s">
        <v>143</v>
      </c>
      <c r="C256" s="316" t="s">
        <v>144</v>
      </c>
      <c r="D256" s="317"/>
      <c r="E256" s="318">
        <f>E255/4.6371</f>
        <v>1442512.6028946002</v>
      </c>
    </row>
    <row r="257" spans="2:5" ht="12.75">
      <c r="B257" s="316" t="s">
        <v>348</v>
      </c>
      <c r="C257" s="255"/>
      <c r="D257" s="257"/>
      <c r="E257" s="258"/>
    </row>
    <row r="261" spans="3:8" ht="12.75">
      <c r="C261" s="319"/>
      <c r="D261" s="320"/>
      <c r="E261" s="320"/>
      <c r="F261" s="865"/>
      <c r="G261" s="865"/>
      <c r="H261" s="865"/>
    </row>
    <row r="262" spans="3:8" ht="12.75">
      <c r="C262" s="319"/>
      <c r="D262" s="320"/>
      <c r="E262" s="320"/>
      <c r="F262" s="865"/>
      <c r="G262" s="865"/>
      <c r="H262" s="865"/>
    </row>
    <row r="263" spans="3:8" ht="12.75">
      <c r="C263" s="866"/>
      <c r="D263" s="866"/>
      <c r="E263" s="320"/>
      <c r="F263" s="865"/>
      <c r="G263" s="865"/>
      <c r="H263" s="865"/>
    </row>
    <row r="264" spans="3:8" ht="12.75">
      <c r="C264" s="867" t="s">
        <v>146</v>
      </c>
      <c r="D264" s="867"/>
      <c r="E264" s="320"/>
      <c r="F264" s="868" t="s">
        <v>147</v>
      </c>
      <c r="G264" s="868"/>
      <c r="H264" s="868"/>
    </row>
  </sheetData>
  <sheetProtection selectLockedCells="1" selectUnlockedCells="1"/>
  <mergeCells count="36">
    <mergeCell ref="F261:H263"/>
    <mergeCell ref="C263:D263"/>
    <mergeCell ref="C264:D264"/>
    <mergeCell ref="F264:H264"/>
    <mergeCell ref="A212:H212"/>
    <mergeCell ref="A222:H222"/>
    <mergeCell ref="A152:H152"/>
    <mergeCell ref="A162:H162"/>
    <mergeCell ref="A172:H172"/>
    <mergeCell ref="A182:H182"/>
    <mergeCell ref="A192:H192"/>
    <mergeCell ref="A202:H202"/>
    <mergeCell ref="A92:H92"/>
    <mergeCell ref="A102:H102"/>
    <mergeCell ref="A112:H112"/>
    <mergeCell ref="A122:H122"/>
    <mergeCell ref="A132:H132"/>
    <mergeCell ref="A142:H142"/>
    <mergeCell ref="A32:H32"/>
    <mergeCell ref="A42:H42"/>
    <mergeCell ref="A52:H52"/>
    <mergeCell ref="A62:H62"/>
    <mergeCell ref="A72:H72"/>
    <mergeCell ref="A82:H82"/>
    <mergeCell ref="M14:O16"/>
    <mergeCell ref="A15:F15"/>
    <mergeCell ref="A16:F16"/>
    <mergeCell ref="A17:F17"/>
    <mergeCell ref="A18:F18"/>
    <mergeCell ref="A22:H22"/>
    <mergeCell ref="A1:B1"/>
    <mergeCell ref="A2:B2"/>
    <mergeCell ref="A3:B3"/>
    <mergeCell ref="A4:B4"/>
    <mergeCell ref="A6:B6"/>
    <mergeCell ref="A8:F8"/>
  </mergeCells>
  <printOptions/>
  <pageMargins left="0.7000000000000001" right="0.7000000000000001" top="0.75" bottom="0.75" header="0.5118110236220472" footer="0.5118110236220472"/>
  <pageSetup horizontalDpi="600" verticalDpi="600" orientation="portrait" paperSize="9" scale="94" r:id="rId1"/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09">
      <selection activeCell="G12" sqref="G12"/>
    </sheetView>
  </sheetViews>
  <sheetFormatPr defaultColWidth="9.140625" defaultRowHeight="12.75"/>
  <cols>
    <col min="2" max="2" width="16.421875" style="0" customWidth="1"/>
    <col min="3" max="3" width="22.28125" style="0" customWidth="1"/>
    <col min="4" max="4" width="22.421875" style="0" customWidth="1"/>
    <col min="5" max="5" width="24.7109375" style="0" customWidth="1"/>
  </cols>
  <sheetData>
    <row r="2" ht="12.75">
      <c r="B2" s="844" t="s">
        <v>351</v>
      </c>
    </row>
    <row r="4" spans="2:5" ht="15.75" thickBot="1">
      <c r="B4" s="831" t="s">
        <v>168</v>
      </c>
      <c r="C4" s="831" t="s">
        <v>263</v>
      </c>
      <c r="D4" s="831" t="s">
        <v>264</v>
      </c>
      <c r="E4" s="832" t="s">
        <v>265</v>
      </c>
    </row>
    <row r="5" spans="2:5" ht="16.5" thickBot="1" thickTop="1">
      <c r="B5" s="833" t="s">
        <v>266</v>
      </c>
      <c r="C5" s="834">
        <v>250000</v>
      </c>
      <c r="D5" s="834">
        <v>0</v>
      </c>
      <c r="E5" s="834">
        <f>C5+D5</f>
        <v>250000</v>
      </c>
    </row>
    <row r="6" spans="2:5" ht="16.5" thickBot="1" thickTop="1">
      <c r="B6" s="833" t="s">
        <v>267</v>
      </c>
      <c r="C6" s="834">
        <v>250000</v>
      </c>
      <c r="D6" s="834">
        <v>0</v>
      </c>
      <c r="E6" s="834">
        <f aca="true" t="shared" si="0" ref="E6:E69">C6+D6</f>
        <v>250000</v>
      </c>
    </row>
    <row r="7" spans="2:5" ht="16.5" thickBot="1" thickTop="1">
      <c r="B7" s="833" t="s">
        <v>268</v>
      </c>
      <c r="C7" s="834">
        <v>250000</v>
      </c>
      <c r="D7" s="834">
        <v>0</v>
      </c>
      <c r="E7" s="834">
        <f t="shared" si="0"/>
        <v>250000</v>
      </c>
    </row>
    <row r="8" spans="2:5" ht="16.5" thickBot="1" thickTop="1">
      <c r="B8" s="833" t="s">
        <v>269</v>
      </c>
      <c r="C8" s="834">
        <v>250000</v>
      </c>
      <c r="D8" s="834">
        <v>0</v>
      </c>
      <c r="E8" s="834">
        <f t="shared" si="0"/>
        <v>250000</v>
      </c>
    </row>
    <row r="9" spans="2:5" ht="16.5" thickBot="1" thickTop="1">
      <c r="B9" s="835" t="s">
        <v>270</v>
      </c>
      <c r="C9" s="836">
        <v>250000</v>
      </c>
      <c r="D9" s="836">
        <v>250000</v>
      </c>
      <c r="E9" s="836">
        <f>C9+D9</f>
        <v>500000</v>
      </c>
    </row>
    <row r="10" spans="2:5" ht="16.5" thickBot="1" thickTop="1">
      <c r="B10" s="835" t="s">
        <v>271</v>
      </c>
      <c r="C10" s="836">
        <v>250000</v>
      </c>
      <c r="D10" s="836">
        <v>250000</v>
      </c>
      <c r="E10" s="836">
        <f t="shared" si="0"/>
        <v>500000</v>
      </c>
    </row>
    <row r="11" spans="2:5" ht="16.5" thickBot="1" thickTop="1">
      <c r="B11" s="835" t="s">
        <v>272</v>
      </c>
      <c r="C11" s="836">
        <v>250000</v>
      </c>
      <c r="D11" s="836">
        <v>250000</v>
      </c>
      <c r="E11" s="836">
        <f t="shared" si="0"/>
        <v>500000</v>
      </c>
    </row>
    <row r="12" spans="2:5" ht="16.5" thickBot="1" thickTop="1">
      <c r="B12" s="835" t="s">
        <v>273</v>
      </c>
      <c r="C12" s="836">
        <v>250000</v>
      </c>
      <c r="D12" s="836">
        <v>250000</v>
      </c>
      <c r="E12" s="836">
        <f t="shared" si="0"/>
        <v>500000</v>
      </c>
    </row>
    <row r="13" spans="2:5" ht="16.5" thickBot="1" thickTop="1">
      <c r="B13" s="833" t="s">
        <v>274</v>
      </c>
      <c r="C13" s="834">
        <f aca="true" t="shared" si="1" ref="C13:C32">250000+125000</f>
        <v>375000</v>
      </c>
      <c r="D13" s="834">
        <v>250000</v>
      </c>
      <c r="E13" s="834">
        <f t="shared" si="0"/>
        <v>625000</v>
      </c>
    </row>
    <row r="14" spans="2:5" ht="16.5" thickBot="1" thickTop="1">
      <c r="B14" s="833" t="s">
        <v>275</v>
      </c>
      <c r="C14" s="834">
        <f t="shared" si="1"/>
        <v>375000</v>
      </c>
      <c r="D14" s="834">
        <v>250000</v>
      </c>
      <c r="E14" s="834">
        <f t="shared" si="0"/>
        <v>625000</v>
      </c>
    </row>
    <row r="15" spans="2:5" ht="16.5" thickBot="1" thickTop="1">
      <c r="B15" s="833" t="s">
        <v>276</v>
      </c>
      <c r="C15" s="834">
        <f t="shared" si="1"/>
        <v>375000</v>
      </c>
      <c r="D15" s="834">
        <v>250000</v>
      </c>
      <c r="E15" s="834">
        <f t="shared" si="0"/>
        <v>625000</v>
      </c>
    </row>
    <row r="16" spans="2:5" ht="16.5" thickBot="1" thickTop="1">
      <c r="B16" s="833" t="s">
        <v>277</v>
      </c>
      <c r="C16" s="834">
        <f t="shared" si="1"/>
        <v>375000</v>
      </c>
      <c r="D16" s="834">
        <v>250000</v>
      </c>
      <c r="E16" s="834">
        <f t="shared" si="0"/>
        <v>625000</v>
      </c>
    </row>
    <row r="17" spans="2:5" ht="16.5" thickBot="1" thickTop="1">
      <c r="B17" s="835" t="s">
        <v>278</v>
      </c>
      <c r="C17" s="836">
        <f t="shared" si="1"/>
        <v>375000</v>
      </c>
      <c r="D17" s="836">
        <v>250000</v>
      </c>
      <c r="E17" s="836">
        <f>C17+D17</f>
        <v>625000</v>
      </c>
    </row>
    <row r="18" spans="2:5" ht="16.5" thickBot="1" thickTop="1">
      <c r="B18" s="835" t="s">
        <v>279</v>
      </c>
      <c r="C18" s="836">
        <f t="shared" si="1"/>
        <v>375000</v>
      </c>
      <c r="D18" s="836">
        <v>250000</v>
      </c>
      <c r="E18" s="836">
        <f t="shared" si="0"/>
        <v>625000</v>
      </c>
    </row>
    <row r="19" spans="2:5" ht="16.5" thickBot="1" thickTop="1">
      <c r="B19" s="835" t="s">
        <v>280</v>
      </c>
      <c r="C19" s="836">
        <f t="shared" si="1"/>
        <v>375000</v>
      </c>
      <c r="D19" s="836">
        <v>250000</v>
      </c>
      <c r="E19" s="836">
        <f t="shared" si="0"/>
        <v>625000</v>
      </c>
    </row>
    <row r="20" spans="2:5" ht="16.5" thickBot="1" thickTop="1">
      <c r="B20" s="835" t="s">
        <v>281</v>
      </c>
      <c r="C20" s="836">
        <f t="shared" si="1"/>
        <v>375000</v>
      </c>
      <c r="D20" s="836">
        <v>250000</v>
      </c>
      <c r="E20" s="836">
        <f t="shared" si="0"/>
        <v>625000</v>
      </c>
    </row>
    <row r="21" spans="2:5" ht="16.5" thickBot="1" thickTop="1">
      <c r="B21" s="833" t="s">
        <v>282</v>
      </c>
      <c r="C21" s="834">
        <f t="shared" si="1"/>
        <v>375000</v>
      </c>
      <c r="D21" s="834">
        <v>250000</v>
      </c>
      <c r="E21" s="834">
        <f t="shared" si="0"/>
        <v>625000</v>
      </c>
    </row>
    <row r="22" spans="2:5" ht="16.5" thickBot="1" thickTop="1">
      <c r="B22" s="833" t="s">
        <v>283</v>
      </c>
      <c r="C22" s="834">
        <f t="shared" si="1"/>
        <v>375000</v>
      </c>
      <c r="D22" s="834">
        <v>250000</v>
      </c>
      <c r="E22" s="834">
        <f t="shared" si="0"/>
        <v>625000</v>
      </c>
    </row>
    <row r="23" spans="2:5" ht="16.5" thickBot="1" thickTop="1">
      <c r="B23" s="833" t="s">
        <v>284</v>
      </c>
      <c r="C23" s="834">
        <f t="shared" si="1"/>
        <v>375000</v>
      </c>
      <c r="D23" s="834">
        <v>250000</v>
      </c>
      <c r="E23" s="834">
        <f t="shared" si="0"/>
        <v>625000</v>
      </c>
    </row>
    <row r="24" spans="2:5" ht="16.5" thickBot="1" thickTop="1">
      <c r="B24" s="833" t="s">
        <v>285</v>
      </c>
      <c r="C24" s="834">
        <f t="shared" si="1"/>
        <v>375000</v>
      </c>
      <c r="D24" s="834">
        <v>250000</v>
      </c>
      <c r="E24" s="834">
        <f t="shared" si="0"/>
        <v>625000</v>
      </c>
    </row>
    <row r="25" spans="2:5" ht="16.5" thickBot="1" thickTop="1">
      <c r="B25" s="835" t="s">
        <v>286</v>
      </c>
      <c r="C25" s="836">
        <f t="shared" si="1"/>
        <v>375000</v>
      </c>
      <c r="D25" s="836">
        <v>250000</v>
      </c>
      <c r="E25" s="836">
        <f>C25+D25</f>
        <v>625000</v>
      </c>
    </row>
    <row r="26" spans="2:5" ht="16.5" thickBot="1" thickTop="1">
      <c r="B26" s="835" t="s">
        <v>287</v>
      </c>
      <c r="C26" s="836">
        <f t="shared" si="1"/>
        <v>375000</v>
      </c>
      <c r="D26" s="836">
        <v>250000</v>
      </c>
      <c r="E26" s="836">
        <f t="shared" si="0"/>
        <v>625000</v>
      </c>
    </row>
    <row r="27" spans="2:5" ht="16.5" thickBot="1" thickTop="1">
      <c r="B27" s="835" t="s">
        <v>288</v>
      </c>
      <c r="C27" s="836">
        <f t="shared" si="1"/>
        <v>375000</v>
      </c>
      <c r="D27" s="836">
        <v>250000</v>
      </c>
      <c r="E27" s="836">
        <f t="shared" si="0"/>
        <v>625000</v>
      </c>
    </row>
    <row r="28" spans="2:5" ht="16.5" thickBot="1" thickTop="1">
      <c r="B28" s="835" t="s">
        <v>289</v>
      </c>
      <c r="C28" s="836">
        <f t="shared" si="1"/>
        <v>375000</v>
      </c>
      <c r="D28" s="836">
        <v>250000</v>
      </c>
      <c r="E28" s="836">
        <f t="shared" si="0"/>
        <v>625000</v>
      </c>
    </row>
    <row r="29" spans="2:5" ht="16.5" thickBot="1" thickTop="1">
      <c r="B29" s="833" t="s">
        <v>290</v>
      </c>
      <c r="C29" s="834">
        <f t="shared" si="1"/>
        <v>375000</v>
      </c>
      <c r="D29" s="834">
        <v>250000</v>
      </c>
      <c r="E29" s="834">
        <f t="shared" si="0"/>
        <v>625000</v>
      </c>
    </row>
    <row r="30" spans="2:5" ht="16.5" thickBot="1" thickTop="1">
      <c r="B30" s="833" t="s">
        <v>291</v>
      </c>
      <c r="C30" s="834">
        <f t="shared" si="1"/>
        <v>375000</v>
      </c>
      <c r="D30" s="834">
        <v>250000</v>
      </c>
      <c r="E30" s="834">
        <f t="shared" si="0"/>
        <v>625000</v>
      </c>
    </row>
    <row r="31" spans="2:5" ht="16.5" thickBot="1" thickTop="1">
      <c r="B31" s="833" t="s">
        <v>292</v>
      </c>
      <c r="C31" s="834">
        <f t="shared" si="1"/>
        <v>375000</v>
      </c>
      <c r="D31" s="834">
        <v>250000</v>
      </c>
      <c r="E31" s="834">
        <f t="shared" si="0"/>
        <v>625000</v>
      </c>
    </row>
    <row r="32" spans="2:5" ht="16.5" thickBot="1" thickTop="1">
      <c r="B32" s="833" t="s">
        <v>293</v>
      </c>
      <c r="C32" s="834">
        <f t="shared" si="1"/>
        <v>375000</v>
      </c>
      <c r="D32" s="834">
        <v>250000</v>
      </c>
      <c r="E32" s="834">
        <f t="shared" si="0"/>
        <v>625000</v>
      </c>
    </row>
    <row r="33" spans="2:5" ht="16.5" thickBot="1" thickTop="1">
      <c r="B33" s="835" t="s">
        <v>294</v>
      </c>
      <c r="C33" s="836">
        <v>250000</v>
      </c>
      <c r="D33" s="836">
        <v>250000</v>
      </c>
      <c r="E33" s="836">
        <f t="shared" si="0"/>
        <v>500000</v>
      </c>
    </row>
    <row r="34" spans="2:5" ht="16.5" thickBot="1" thickTop="1">
      <c r="B34" s="835" t="s">
        <v>295</v>
      </c>
      <c r="C34" s="836">
        <v>250000</v>
      </c>
      <c r="D34" s="836">
        <v>250000</v>
      </c>
      <c r="E34" s="836">
        <f t="shared" si="0"/>
        <v>500000</v>
      </c>
    </row>
    <row r="35" spans="2:5" ht="16.5" thickBot="1" thickTop="1">
      <c r="B35" s="835" t="s">
        <v>296</v>
      </c>
      <c r="C35" s="836">
        <v>250000</v>
      </c>
      <c r="D35" s="836">
        <v>250000</v>
      </c>
      <c r="E35" s="836">
        <f t="shared" si="0"/>
        <v>500000</v>
      </c>
    </row>
    <row r="36" spans="2:5" ht="16.5" thickBot="1" thickTop="1">
      <c r="B36" s="835" t="s">
        <v>297</v>
      </c>
      <c r="C36" s="836">
        <v>250000</v>
      </c>
      <c r="D36" s="836">
        <v>250000</v>
      </c>
      <c r="E36" s="836">
        <f t="shared" si="0"/>
        <v>500000</v>
      </c>
    </row>
    <row r="37" spans="2:5" ht="16.5" thickBot="1" thickTop="1">
      <c r="B37" s="833" t="s">
        <v>298</v>
      </c>
      <c r="C37" s="834">
        <v>250000</v>
      </c>
      <c r="D37" s="834">
        <v>250000</v>
      </c>
      <c r="E37" s="834">
        <f t="shared" si="0"/>
        <v>500000</v>
      </c>
    </row>
    <row r="38" spans="2:5" ht="16.5" thickBot="1" thickTop="1">
      <c r="B38" s="833" t="s">
        <v>299</v>
      </c>
      <c r="C38" s="834">
        <v>250000</v>
      </c>
      <c r="D38" s="834">
        <v>250000</v>
      </c>
      <c r="E38" s="834">
        <f t="shared" si="0"/>
        <v>500000</v>
      </c>
    </row>
    <row r="39" spans="2:5" ht="16.5" thickBot="1" thickTop="1">
      <c r="B39" s="833" t="s">
        <v>300</v>
      </c>
      <c r="C39" s="834">
        <v>250000</v>
      </c>
      <c r="D39" s="834">
        <v>250000</v>
      </c>
      <c r="E39" s="834">
        <f t="shared" si="0"/>
        <v>500000</v>
      </c>
    </row>
    <row r="40" spans="2:5" ht="16.5" thickBot="1" thickTop="1">
      <c r="B40" s="833" t="s">
        <v>301</v>
      </c>
      <c r="C40" s="834">
        <v>250000</v>
      </c>
      <c r="D40" s="834">
        <v>250000</v>
      </c>
      <c r="E40" s="834">
        <f t="shared" si="0"/>
        <v>500000</v>
      </c>
    </row>
    <row r="41" spans="2:5" ht="16.5" thickBot="1" thickTop="1">
      <c r="B41" s="835" t="s">
        <v>302</v>
      </c>
      <c r="C41" s="836">
        <v>250000</v>
      </c>
      <c r="D41" s="836">
        <v>250000</v>
      </c>
      <c r="E41" s="836">
        <f t="shared" si="0"/>
        <v>500000</v>
      </c>
    </row>
    <row r="42" spans="2:5" ht="16.5" thickBot="1" thickTop="1">
      <c r="B42" s="835" t="s">
        <v>303</v>
      </c>
      <c r="C42" s="836">
        <v>250000</v>
      </c>
      <c r="D42" s="836">
        <v>250000</v>
      </c>
      <c r="E42" s="836">
        <f t="shared" si="0"/>
        <v>500000</v>
      </c>
    </row>
    <row r="43" spans="2:5" ht="16.5" thickBot="1" thickTop="1">
      <c r="B43" s="835" t="s">
        <v>304</v>
      </c>
      <c r="C43" s="836">
        <v>250000</v>
      </c>
      <c r="D43" s="836">
        <v>250000</v>
      </c>
      <c r="E43" s="836">
        <f t="shared" si="0"/>
        <v>500000</v>
      </c>
    </row>
    <row r="44" spans="2:5" ht="16.5" thickBot="1" thickTop="1">
      <c r="B44" s="835" t="s">
        <v>305</v>
      </c>
      <c r="C44" s="836">
        <v>250000</v>
      </c>
      <c r="D44" s="836">
        <v>250000</v>
      </c>
      <c r="E44" s="836">
        <f t="shared" si="0"/>
        <v>500000</v>
      </c>
    </row>
    <row r="45" spans="2:5" ht="16.5" thickBot="1" thickTop="1">
      <c r="B45" s="833" t="s">
        <v>306</v>
      </c>
      <c r="C45" s="834">
        <v>250000</v>
      </c>
      <c r="D45" s="834">
        <v>250000</v>
      </c>
      <c r="E45" s="834">
        <f t="shared" si="0"/>
        <v>500000</v>
      </c>
    </row>
    <row r="46" spans="2:5" ht="16.5" thickBot="1" thickTop="1">
      <c r="B46" s="833" t="s">
        <v>307</v>
      </c>
      <c r="C46" s="834">
        <v>250000</v>
      </c>
      <c r="D46" s="834">
        <v>250000</v>
      </c>
      <c r="E46" s="834">
        <f t="shared" si="0"/>
        <v>500000</v>
      </c>
    </row>
    <row r="47" spans="2:5" ht="16.5" thickBot="1" thickTop="1">
      <c r="B47" s="833" t="s">
        <v>308</v>
      </c>
      <c r="C47" s="834">
        <v>250000</v>
      </c>
      <c r="D47" s="834">
        <v>250000</v>
      </c>
      <c r="E47" s="834">
        <f t="shared" si="0"/>
        <v>500000</v>
      </c>
    </row>
    <row r="48" spans="2:5" ht="16.5" thickBot="1" thickTop="1">
      <c r="B48" s="833" t="s">
        <v>309</v>
      </c>
      <c r="C48" s="834">
        <v>250000</v>
      </c>
      <c r="D48" s="834">
        <v>250000</v>
      </c>
      <c r="E48" s="834">
        <f t="shared" si="0"/>
        <v>500000</v>
      </c>
    </row>
    <row r="49" spans="2:5" ht="16.5" thickBot="1" thickTop="1">
      <c r="B49" s="835" t="s">
        <v>310</v>
      </c>
      <c r="C49" s="836">
        <v>250000</v>
      </c>
      <c r="D49" s="836">
        <v>250000</v>
      </c>
      <c r="E49" s="836">
        <f t="shared" si="0"/>
        <v>500000</v>
      </c>
    </row>
    <row r="50" spans="2:5" ht="16.5" thickBot="1" thickTop="1">
      <c r="B50" s="835" t="s">
        <v>311</v>
      </c>
      <c r="C50" s="836">
        <v>250000</v>
      </c>
      <c r="D50" s="836">
        <v>250000</v>
      </c>
      <c r="E50" s="836">
        <f t="shared" si="0"/>
        <v>500000</v>
      </c>
    </row>
    <row r="51" spans="2:5" ht="16.5" thickBot="1" thickTop="1">
      <c r="B51" s="835" t="s">
        <v>312</v>
      </c>
      <c r="C51" s="836">
        <v>250000</v>
      </c>
      <c r="D51" s="836">
        <v>250000</v>
      </c>
      <c r="E51" s="836">
        <f t="shared" si="0"/>
        <v>500000</v>
      </c>
    </row>
    <row r="52" spans="2:5" ht="16.5" thickBot="1" thickTop="1">
      <c r="B52" s="835" t="s">
        <v>313</v>
      </c>
      <c r="C52" s="836">
        <v>250000</v>
      </c>
      <c r="D52" s="836">
        <v>250000</v>
      </c>
      <c r="E52" s="836">
        <f t="shared" si="0"/>
        <v>500000</v>
      </c>
    </row>
    <row r="53" spans="2:5" ht="16.5" thickBot="1" thickTop="1">
      <c r="B53" s="833" t="s">
        <v>314</v>
      </c>
      <c r="C53" s="834">
        <v>250000</v>
      </c>
      <c r="D53" s="834">
        <v>250000</v>
      </c>
      <c r="E53" s="834">
        <f t="shared" si="0"/>
        <v>500000</v>
      </c>
    </row>
    <row r="54" spans="2:5" ht="16.5" thickBot="1" thickTop="1">
      <c r="B54" s="833" t="s">
        <v>315</v>
      </c>
      <c r="C54" s="834">
        <v>250000</v>
      </c>
      <c r="D54" s="834">
        <v>250000</v>
      </c>
      <c r="E54" s="834">
        <f t="shared" si="0"/>
        <v>500000</v>
      </c>
    </row>
    <row r="55" spans="2:5" ht="16.5" thickBot="1" thickTop="1">
      <c r="B55" s="833" t="s">
        <v>316</v>
      </c>
      <c r="C55" s="834">
        <v>250000</v>
      </c>
      <c r="D55" s="834">
        <v>250000</v>
      </c>
      <c r="E55" s="834">
        <f t="shared" si="0"/>
        <v>500000</v>
      </c>
    </row>
    <row r="56" spans="2:5" ht="16.5" thickBot="1" thickTop="1">
      <c r="B56" s="833" t="s">
        <v>317</v>
      </c>
      <c r="C56" s="834">
        <v>250000</v>
      </c>
      <c r="D56" s="834">
        <v>250000</v>
      </c>
      <c r="E56" s="834">
        <f t="shared" si="0"/>
        <v>500000</v>
      </c>
    </row>
    <row r="57" spans="2:5" ht="16.5" thickBot="1" thickTop="1">
      <c r="B57" s="835" t="s">
        <v>318</v>
      </c>
      <c r="C57" s="836">
        <v>250000</v>
      </c>
      <c r="D57" s="836">
        <v>250000</v>
      </c>
      <c r="E57" s="836">
        <f t="shared" si="0"/>
        <v>500000</v>
      </c>
    </row>
    <row r="58" spans="2:5" ht="16.5" thickBot="1" thickTop="1">
      <c r="B58" s="835" t="s">
        <v>319</v>
      </c>
      <c r="C58" s="836">
        <v>250000</v>
      </c>
      <c r="D58" s="836">
        <v>250000</v>
      </c>
      <c r="E58" s="836">
        <f t="shared" si="0"/>
        <v>500000</v>
      </c>
    </row>
    <row r="59" spans="2:5" ht="16.5" thickBot="1" thickTop="1">
      <c r="B59" s="835" t="s">
        <v>320</v>
      </c>
      <c r="C59" s="836">
        <v>250000</v>
      </c>
      <c r="D59" s="836">
        <v>250000</v>
      </c>
      <c r="E59" s="836">
        <f t="shared" si="0"/>
        <v>500000</v>
      </c>
    </row>
    <row r="60" spans="2:5" ht="16.5" thickBot="1" thickTop="1">
      <c r="B60" s="835" t="s">
        <v>321</v>
      </c>
      <c r="C60" s="836">
        <v>250000</v>
      </c>
      <c r="D60" s="836">
        <v>250000</v>
      </c>
      <c r="E60" s="836">
        <f t="shared" si="0"/>
        <v>500000</v>
      </c>
    </row>
    <row r="61" spans="2:5" ht="16.5" thickBot="1" thickTop="1">
      <c r="B61" s="833" t="s">
        <v>322</v>
      </c>
      <c r="C61" s="834">
        <v>250000</v>
      </c>
      <c r="D61" s="834">
        <v>250000</v>
      </c>
      <c r="E61" s="834">
        <f t="shared" si="0"/>
        <v>500000</v>
      </c>
    </row>
    <row r="62" spans="2:5" ht="16.5" thickBot="1" thickTop="1">
      <c r="B62" s="833" t="s">
        <v>323</v>
      </c>
      <c r="C62" s="834">
        <v>250000</v>
      </c>
      <c r="D62" s="834">
        <v>250000</v>
      </c>
      <c r="E62" s="834">
        <f t="shared" si="0"/>
        <v>500000</v>
      </c>
    </row>
    <row r="63" spans="2:5" ht="16.5" thickBot="1" thickTop="1">
      <c r="B63" s="833" t="s">
        <v>324</v>
      </c>
      <c r="C63" s="834">
        <v>250000</v>
      </c>
      <c r="D63" s="834">
        <v>250000</v>
      </c>
      <c r="E63" s="834">
        <f t="shared" si="0"/>
        <v>500000</v>
      </c>
    </row>
    <row r="64" spans="2:5" ht="16.5" thickBot="1" thickTop="1">
      <c r="B64" s="833" t="s">
        <v>325</v>
      </c>
      <c r="C64" s="834">
        <v>250000</v>
      </c>
      <c r="D64" s="834">
        <v>250000</v>
      </c>
      <c r="E64" s="834">
        <f t="shared" si="0"/>
        <v>500000</v>
      </c>
    </row>
    <row r="65" spans="2:5" ht="16.5" thickBot="1" thickTop="1">
      <c r="B65" s="835" t="s">
        <v>326</v>
      </c>
      <c r="C65" s="836">
        <v>250000</v>
      </c>
      <c r="D65" s="836">
        <v>250000</v>
      </c>
      <c r="E65" s="836">
        <f t="shared" si="0"/>
        <v>500000</v>
      </c>
    </row>
    <row r="66" spans="2:5" ht="16.5" thickBot="1" thickTop="1">
      <c r="B66" s="835" t="s">
        <v>327</v>
      </c>
      <c r="C66" s="836">
        <v>250000</v>
      </c>
      <c r="D66" s="836">
        <v>250000</v>
      </c>
      <c r="E66" s="836">
        <f t="shared" si="0"/>
        <v>500000</v>
      </c>
    </row>
    <row r="67" spans="2:5" ht="16.5" thickBot="1" thickTop="1">
      <c r="B67" s="835" t="s">
        <v>328</v>
      </c>
      <c r="C67" s="836">
        <v>250000</v>
      </c>
      <c r="D67" s="836">
        <v>250000</v>
      </c>
      <c r="E67" s="836">
        <f t="shared" si="0"/>
        <v>500000</v>
      </c>
    </row>
    <row r="68" spans="2:5" ht="16.5" thickBot="1" thickTop="1">
      <c r="B68" s="835" t="s">
        <v>329</v>
      </c>
      <c r="C68" s="836">
        <v>250000</v>
      </c>
      <c r="D68" s="836">
        <v>250000</v>
      </c>
      <c r="E68" s="836">
        <f t="shared" si="0"/>
        <v>500000</v>
      </c>
    </row>
    <row r="69" spans="2:5" ht="16.5" thickBot="1" thickTop="1">
      <c r="B69" s="833" t="s">
        <v>330</v>
      </c>
      <c r="C69" s="834">
        <v>250000</v>
      </c>
      <c r="D69" s="834"/>
      <c r="E69" s="834">
        <f t="shared" si="0"/>
        <v>250000</v>
      </c>
    </row>
    <row r="70" spans="2:5" ht="16.5" thickBot="1" thickTop="1">
      <c r="B70" s="833" t="s">
        <v>331</v>
      </c>
      <c r="C70" s="834">
        <v>250000</v>
      </c>
      <c r="D70" s="834"/>
      <c r="E70" s="834">
        <f aca="true" t="shared" si="2" ref="E70:E84">C70+D70</f>
        <v>250000</v>
      </c>
    </row>
    <row r="71" spans="2:5" ht="16.5" thickBot="1" thickTop="1">
      <c r="B71" s="833" t="s">
        <v>332</v>
      </c>
      <c r="C71" s="834">
        <v>250000</v>
      </c>
      <c r="D71" s="834"/>
      <c r="E71" s="834">
        <f t="shared" si="2"/>
        <v>250000</v>
      </c>
    </row>
    <row r="72" spans="2:5" ht="16.5" thickBot="1" thickTop="1">
      <c r="B72" s="833" t="s">
        <v>166</v>
      </c>
      <c r="C72" s="834">
        <v>250000</v>
      </c>
      <c r="D72" s="834"/>
      <c r="E72" s="834">
        <f t="shared" si="2"/>
        <v>250000</v>
      </c>
    </row>
    <row r="73" spans="2:5" ht="16.5" thickBot="1" thickTop="1">
      <c r="B73" s="835" t="s">
        <v>333</v>
      </c>
      <c r="C73" s="836">
        <v>250000</v>
      </c>
      <c r="D73" s="836"/>
      <c r="E73" s="836">
        <f t="shared" si="2"/>
        <v>250000</v>
      </c>
    </row>
    <row r="74" spans="2:5" ht="16.5" thickBot="1" thickTop="1">
      <c r="B74" s="835" t="s">
        <v>334</v>
      </c>
      <c r="C74" s="836">
        <v>250000</v>
      </c>
      <c r="D74" s="836"/>
      <c r="E74" s="836">
        <f t="shared" si="2"/>
        <v>250000</v>
      </c>
    </row>
    <row r="75" spans="2:5" ht="16.5" thickBot="1" thickTop="1">
      <c r="B75" s="835" t="s">
        <v>335</v>
      </c>
      <c r="C75" s="836">
        <v>250000</v>
      </c>
      <c r="D75" s="836"/>
      <c r="E75" s="836">
        <f t="shared" si="2"/>
        <v>250000</v>
      </c>
    </row>
    <row r="76" spans="2:5" ht="16.5" thickBot="1" thickTop="1">
      <c r="B76" s="835" t="s">
        <v>336</v>
      </c>
      <c r="C76" s="836">
        <v>250000</v>
      </c>
      <c r="D76" s="836"/>
      <c r="E76" s="836">
        <f t="shared" si="2"/>
        <v>250000</v>
      </c>
    </row>
    <row r="77" spans="2:5" ht="16.5" thickBot="1" thickTop="1">
      <c r="B77" s="838" t="s">
        <v>337</v>
      </c>
      <c r="C77" s="834">
        <v>500000</v>
      </c>
      <c r="D77" s="839"/>
      <c r="E77" s="839">
        <f t="shared" si="2"/>
        <v>500000</v>
      </c>
    </row>
    <row r="78" spans="2:5" ht="16.5" thickBot="1" thickTop="1">
      <c r="B78" s="838" t="s">
        <v>338</v>
      </c>
      <c r="C78" s="834">
        <v>500000</v>
      </c>
      <c r="D78" s="839"/>
      <c r="E78" s="839">
        <f t="shared" si="2"/>
        <v>500000</v>
      </c>
    </row>
    <row r="79" spans="2:5" ht="16.5" thickBot="1" thickTop="1">
      <c r="B79" s="838" t="s">
        <v>339</v>
      </c>
      <c r="C79" s="834">
        <v>500000</v>
      </c>
      <c r="D79" s="839"/>
      <c r="E79" s="839">
        <f t="shared" si="2"/>
        <v>500000</v>
      </c>
    </row>
    <row r="80" spans="2:5" ht="16.5" thickBot="1" thickTop="1">
      <c r="B80" s="838" t="s">
        <v>340</v>
      </c>
      <c r="C80" s="834">
        <v>500000</v>
      </c>
      <c r="D80" s="839"/>
      <c r="E80" s="839">
        <f t="shared" si="2"/>
        <v>500000</v>
      </c>
    </row>
    <row r="81" spans="2:5" ht="16.5" thickBot="1" thickTop="1">
      <c r="B81" s="835" t="s">
        <v>341</v>
      </c>
      <c r="C81" s="837">
        <v>1250000</v>
      </c>
      <c r="D81" s="836"/>
      <c r="E81" s="836">
        <f>C81+D81</f>
        <v>1250000</v>
      </c>
    </row>
    <row r="82" spans="2:5" ht="16.5" thickBot="1" thickTop="1">
      <c r="B82" s="835" t="s">
        <v>342</v>
      </c>
      <c r="C82" s="837">
        <v>1250000</v>
      </c>
      <c r="D82" s="836"/>
      <c r="E82" s="836">
        <f t="shared" si="2"/>
        <v>1250000</v>
      </c>
    </row>
    <row r="83" spans="2:5" ht="16.5" thickBot="1" thickTop="1">
      <c r="B83" s="835" t="s">
        <v>343</v>
      </c>
      <c r="C83" s="837">
        <v>1250000</v>
      </c>
      <c r="D83" s="836"/>
      <c r="E83" s="836">
        <f t="shared" si="2"/>
        <v>1250000</v>
      </c>
    </row>
    <row r="84" spans="2:5" ht="16.5" thickBot="1" thickTop="1">
      <c r="B84" s="835" t="s">
        <v>344</v>
      </c>
      <c r="C84" s="837">
        <v>1250000</v>
      </c>
      <c r="D84" s="836"/>
      <c r="E84" s="836">
        <f t="shared" si="2"/>
        <v>1250000</v>
      </c>
    </row>
    <row r="85" spans="2:5" ht="16.5" thickBot="1" thickTop="1">
      <c r="B85" s="840"/>
      <c r="C85" s="841">
        <f>SUM(C5:C84)</f>
        <v>27500000</v>
      </c>
      <c r="D85" s="841">
        <f>SUM(D5:D84)</f>
        <v>15000000</v>
      </c>
      <c r="E85" s="841">
        <f>SUM(E5:E84)</f>
        <v>42500000</v>
      </c>
    </row>
    <row r="86" ht="13.5" thickTop="1"/>
  </sheetData>
  <sheetProtection/>
  <printOptions/>
  <pageMargins left="0.7" right="0.7" top="0.75" bottom="0.75" header="0.3" footer="0.3"/>
  <pageSetup horizontalDpi="600" verticalDpi="600" orientation="portrait" paperSize="9" scale="8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7"/>
  <sheetViews>
    <sheetView zoomScaleSheetLayoutView="100" zoomScalePageLayoutView="0" workbookViewId="0" topLeftCell="A1">
      <selection activeCell="Q71" sqref="Q71"/>
    </sheetView>
  </sheetViews>
  <sheetFormatPr defaultColWidth="9.140625" defaultRowHeight="12.75"/>
  <cols>
    <col min="1" max="1" width="7.140625" style="1" customWidth="1"/>
    <col min="2" max="2" width="12.28125" style="1" customWidth="1"/>
    <col min="3" max="3" width="11.28125" style="1" customWidth="1"/>
    <col min="4" max="4" width="12.28125" style="1" customWidth="1"/>
    <col min="5" max="5" width="10.8515625" style="1" customWidth="1"/>
    <col min="6" max="6" width="10.7109375" style="1" customWidth="1"/>
    <col min="7" max="7" width="12.00390625" style="1" customWidth="1"/>
    <col min="8" max="8" width="13.00390625" style="1" customWidth="1"/>
    <col min="9" max="9" width="16.421875" style="1" customWidth="1"/>
    <col min="10" max="11" width="12.57421875" style="1" customWidth="1"/>
    <col min="12" max="12" width="14.00390625" style="1" customWidth="1"/>
    <col min="13" max="13" width="12.7109375" style="1" hidden="1" customWidth="1"/>
    <col min="14" max="16" width="12.7109375" style="1" customWidth="1"/>
    <col min="17" max="17" width="13.57421875" style="1" customWidth="1"/>
    <col min="18" max="18" width="13.421875" style="1" customWidth="1"/>
    <col min="19" max="19" width="13.7109375" style="1" customWidth="1"/>
    <col min="20" max="20" width="12.421875" style="1" customWidth="1"/>
    <col min="21" max="23" width="13.57421875" style="1" customWidth="1"/>
    <col min="24" max="24" width="11.8515625" style="1" customWidth="1"/>
    <col min="25" max="25" width="15.140625" style="1" customWidth="1"/>
    <col min="26" max="26" width="13.140625" style="1" customWidth="1"/>
    <col min="27" max="27" width="11.8515625" style="1" customWidth="1"/>
    <col min="28" max="28" width="10.421875" style="1" customWidth="1"/>
    <col min="29" max="16384" width="9.140625" style="1" customWidth="1"/>
  </cols>
  <sheetData>
    <row r="1" spans="3:17" ht="21">
      <c r="C1" s="846" t="s">
        <v>71</v>
      </c>
      <c r="D1" s="846"/>
      <c r="E1" s="846"/>
      <c r="F1" s="846"/>
      <c r="G1" s="846"/>
      <c r="H1" s="179" t="s">
        <v>1</v>
      </c>
      <c r="I1" s="180"/>
      <c r="L1" s="847" t="s">
        <v>2</v>
      </c>
      <c r="M1" s="847"/>
      <c r="N1" s="847"/>
      <c r="O1" s="847"/>
      <c r="P1" s="847"/>
      <c r="Q1" s="847"/>
    </row>
    <row r="2" spans="18:27" ht="11.25">
      <c r="R2" s="3"/>
      <c r="S2" s="3"/>
      <c r="T2" s="4"/>
      <c r="U2" s="5"/>
      <c r="AA2" s="6"/>
    </row>
    <row r="3" spans="1:21" ht="33.75" customHeight="1">
      <c r="A3" s="848" t="s">
        <v>3</v>
      </c>
      <c r="B3" s="848"/>
      <c r="C3" s="7" t="s">
        <v>4</v>
      </c>
      <c r="D3" s="8" t="s">
        <v>4</v>
      </c>
      <c r="E3" s="8" t="s">
        <v>4</v>
      </c>
      <c r="F3" s="9" t="s">
        <v>4</v>
      </c>
      <c r="G3" s="10"/>
      <c r="H3" s="10"/>
      <c r="I3" s="10"/>
      <c r="J3" s="10"/>
      <c r="K3" s="7" t="s">
        <v>4</v>
      </c>
      <c r="L3" s="8"/>
      <c r="M3" s="9" t="s">
        <v>4</v>
      </c>
      <c r="P3" s="9" t="s">
        <v>4</v>
      </c>
      <c r="R3" s="3"/>
      <c r="S3" s="3"/>
      <c r="T3" s="4"/>
      <c r="U3" s="5"/>
    </row>
    <row r="4" spans="2:21" ht="11.25">
      <c r="B4" s="849"/>
      <c r="C4" s="849"/>
      <c r="D4" s="849"/>
      <c r="E4" s="849"/>
      <c r="F4" s="849"/>
      <c r="R4" s="3"/>
      <c r="S4" s="3"/>
      <c r="T4" s="4"/>
      <c r="U4" s="5"/>
    </row>
    <row r="5" spans="1:16" ht="11.25">
      <c r="A5" s="11" t="s">
        <v>5</v>
      </c>
      <c r="B5" s="11">
        <v>0.65</v>
      </c>
      <c r="C5" s="11">
        <v>2.4</v>
      </c>
      <c r="D5" s="11">
        <v>0.87</v>
      </c>
      <c r="E5" s="11">
        <v>4.22</v>
      </c>
      <c r="F5" s="11">
        <v>4.22</v>
      </c>
      <c r="G5" s="11">
        <v>1.5</v>
      </c>
      <c r="H5" s="11">
        <v>0.9</v>
      </c>
      <c r="I5" s="11">
        <v>1.4</v>
      </c>
      <c r="J5" s="11">
        <v>1.2</v>
      </c>
      <c r="K5" s="12">
        <v>1.64</v>
      </c>
      <c r="M5" s="12">
        <v>1.89</v>
      </c>
      <c r="N5" s="181">
        <v>0.85</v>
      </c>
      <c r="O5" s="181">
        <v>0.85</v>
      </c>
      <c r="P5" s="12">
        <v>1.89</v>
      </c>
    </row>
    <row r="6" spans="1:16" ht="22.5">
      <c r="A6" s="14" t="s">
        <v>6</v>
      </c>
      <c r="B6" s="11">
        <f>0.65+0.68</f>
        <v>1.33</v>
      </c>
      <c r="C6" s="11">
        <f>2.4+0.68</f>
        <v>3.08</v>
      </c>
      <c r="D6" s="11">
        <f>0.87+0.68</f>
        <v>1.55</v>
      </c>
      <c r="E6" s="11">
        <f>4.22+0.68</f>
        <v>4.8999999999999995</v>
      </c>
      <c r="F6" s="11">
        <f>4.22+0.68</f>
        <v>4.8999999999999995</v>
      </c>
      <c r="G6" s="11">
        <f>1.5+0.69</f>
        <v>2.19</v>
      </c>
      <c r="H6" s="11">
        <f>0.9+0.69</f>
        <v>1.5899999999999999</v>
      </c>
      <c r="I6" s="11">
        <f>1.4+0.69</f>
        <v>2.09</v>
      </c>
      <c r="J6" s="11">
        <f>1.2+0.69</f>
        <v>1.89</v>
      </c>
      <c r="K6" s="15">
        <v>1.9</v>
      </c>
      <c r="M6" s="15">
        <f>1.89+0.26</f>
        <v>2.15</v>
      </c>
      <c r="N6" s="182">
        <v>0.0021</v>
      </c>
      <c r="O6" s="182">
        <v>0.0085</v>
      </c>
      <c r="P6" s="15">
        <f>1.89+0.26</f>
        <v>2.15</v>
      </c>
    </row>
    <row r="7" spans="1:23" ht="15">
      <c r="A7" s="17" t="s">
        <v>7</v>
      </c>
      <c r="C7" s="850" t="s">
        <v>8</v>
      </c>
      <c r="D7" s="850"/>
      <c r="E7" s="850"/>
      <c r="F7" s="850"/>
      <c r="G7" s="851" t="s">
        <v>9</v>
      </c>
      <c r="H7" s="851"/>
      <c r="I7" s="851"/>
      <c r="J7" s="851"/>
      <c r="K7" s="852" t="s">
        <v>10</v>
      </c>
      <c r="L7" s="852"/>
      <c r="M7" s="852"/>
      <c r="N7" s="18">
        <v>0.03</v>
      </c>
      <c r="O7" s="18">
        <v>0.03</v>
      </c>
      <c r="P7" s="18"/>
      <c r="W7" s="1" t="s">
        <v>11</v>
      </c>
    </row>
    <row r="8" spans="1:21" ht="11.25">
      <c r="A8" s="19"/>
      <c r="B8" s="20">
        <v>5</v>
      </c>
      <c r="C8" s="20">
        <v>10</v>
      </c>
      <c r="D8" s="20">
        <v>11</v>
      </c>
      <c r="E8" s="20">
        <v>12</v>
      </c>
      <c r="F8" s="20">
        <v>13</v>
      </c>
      <c r="G8" s="20">
        <v>14</v>
      </c>
      <c r="H8" s="20">
        <v>15</v>
      </c>
      <c r="I8" s="20">
        <v>16</v>
      </c>
      <c r="J8" s="20">
        <v>17</v>
      </c>
      <c r="K8" s="20">
        <v>18</v>
      </c>
      <c r="L8" s="21">
        <v>19</v>
      </c>
      <c r="M8" s="20">
        <v>20</v>
      </c>
      <c r="N8" s="20">
        <v>21</v>
      </c>
      <c r="O8" s="20">
        <v>22</v>
      </c>
      <c r="P8" s="20">
        <v>20</v>
      </c>
      <c r="Q8" s="20">
        <v>23</v>
      </c>
      <c r="R8" s="22">
        <v>24</v>
      </c>
      <c r="S8" s="23" t="s">
        <v>12</v>
      </c>
      <c r="T8" s="24"/>
      <c r="U8" s="25">
        <v>24</v>
      </c>
    </row>
    <row r="9" spans="1:21" ht="44.25" customHeight="1">
      <c r="A9" s="26" t="s">
        <v>13</v>
      </c>
      <c r="B9" s="27" t="s">
        <v>14</v>
      </c>
      <c r="C9" s="28" t="s">
        <v>15</v>
      </c>
      <c r="D9" s="28" t="s">
        <v>16</v>
      </c>
      <c r="E9" s="27" t="s">
        <v>17</v>
      </c>
      <c r="F9" s="29" t="s">
        <v>18</v>
      </c>
      <c r="G9" s="30" t="s">
        <v>19</v>
      </c>
      <c r="H9" s="31" t="s">
        <v>20</v>
      </c>
      <c r="I9" s="31" t="s">
        <v>21</v>
      </c>
      <c r="J9" s="32" t="s">
        <v>22</v>
      </c>
      <c r="K9" s="33" t="s">
        <v>23</v>
      </c>
      <c r="L9" s="34" t="s">
        <v>24</v>
      </c>
      <c r="M9" s="35" t="s">
        <v>25</v>
      </c>
      <c r="N9" s="36" t="s">
        <v>26</v>
      </c>
      <c r="O9" s="36" t="s">
        <v>27</v>
      </c>
      <c r="P9" s="35" t="s">
        <v>72</v>
      </c>
      <c r="Q9" s="37" t="s">
        <v>28</v>
      </c>
      <c r="R9" s="38" t="s">
        <v>29</v>
      </c>
      <c r="S9" s="39" t="s">
        <v>30</v>
      </c>
      <c r="T9" s="40" t="s">
        <v>31</v>
      </c>
      <c r="U9" s="41" t="s">
        <v>13</v>
      </c>
    </row>
    <row r="10" spans="1:24" ht="11.25">
      <c r="A10" s="42">
        <v>2020</v>
      </c>
      <c r="B10" s="43">
        <v>1102991</v>
      </c>
      <c r="C10" s="43">
        <f>30000</f>
        <v>30000</v>
      </c>
      <c r="D10" s="43">
        <v>0</v>
      </c>
      <c r="E10" s="43">
        <v>94500</v>
      </c>
      <c r="F10" s="44">
        <v>94500</v>
      </c>
      <c r="G10" s="45">
        <v>2000000</v>
      </c>
      <c r="H10" s="43"/>
      <c r="I10" s="43">
        <v>875000</v>
      </c>
      <c r="J10" s="46"/>
      <c r="K10" s="47"/>
      <c r="L10" s="48">
        <f aca="true" t="shared" si="0" ref="L10:L31">SUM(B10:K10)</f>
        <v>4196991</v>
      </c>
      <c r="M10" s="49"/>
      <c r="N10" s="50"/>
      <c r="O10" s="50"/>
      <c r="P10" s="49"/>
      <c r="Q10" s="51">
        <f>SUM(M10:M10)</f>
        <v>0</v>
      </c>
      <c r="R10" s="52">
        <v>9068982</v>
      </c>
      <c r="S10" s="53">
        <v>9068982</v>
      </c>
      <c r="T10" s="54">
        <v>0</v>
      </c>
      <c r="U10" s="55">
        <v>2020</v>
      </c>
      <c r="V10" s="56"/>
      <c r="W10" s="57" t="s">
        <v>32</v>
      </c>
      <c r="X10" s="6"/>
    </row>
    <row r="11" spans="1:23" ht="11.25">
      <c r="A11" s="58">
        <v>2021</v>
      </c>
      <c r="B11" s="59"/>
      <c r="C11" s="59"/>
      <c r="D11" s="59">
        <f>727000*2</f>
        <v>1454000</v>
      </c>
      <c r="E11" s="60">
        <v>126000</v>
      </c>
      <c r="F11" s="61">
        <v>126000</v>
      </c>
      <c r="G11" s="62">
        <f>1000000-1000000</f>
        <v>0</v>
      </c>
      <c r="H11" s="59"/>
      <c r="I11" s="59">
        <v>3375000</v>
      </c>
      <c r="J11" s="63"/>
      <c r="K11" s="64">
        <f>13695.64+7304.36</f>
        <v>21000</v>
      </c>
      <c r="L11" s="48">
        <f t="shared" si="0"/>
        <v>5102000</v>
      </c>
      <c r="M11" s="65"/>
      <c r="N11" s="66"/>
      <c r="O11" s="66"/>
      <c r="P11" s="65"/>
      <c r="Q11" s="67">
        <f aca="true" t="shared" si="1" ref="Q11:Q31">SUM(N11:P11)</f>
        <v>0</v>
      </c>
      <c r="R11" s="52">
        <f aca="true" t="shared" si="2" ref="R11:R32">L11+Q11</f>
        <v>5102000</v>
      </c>
      <c r="S11" s="68">
        <v>5103000</v>
      </c>
      <c r="T11" s="69">
        <f aca="true" t="shared" si="3" ref="T11:T31">S11-R11</f>
        <v>1000</v>
      </c>
      <c r="U11" s="70">
        <v>2021</v>
      </c>
      <c r="V11" s="1" t="s">
        <v>33</v>
      </c>
      <c r="W11" s="11" t="s">
        <v>34</v>
      </c>
    </row>
    <row r="12" spans="1:23" ht="11.25">
      <c r="A12" s="58">
        <v>2022</v>
      </c>
      <c r="B12" s="43"/>
      <c r="C12" s="43"/>
      <c r="D12" s="59"/>
      <c r="E12" s="43">
        <v>0</v>
      </c>
      <c r="F12" s="44">
        <v>0</v>
      </c>
      <c r="G12" s="45">
        <f>1000000+1000000</f>
        <v>2000000</v>
      </c>
      <c r="H12" s="43"/>
      <c r="I12" s="43"/>
      <c r="J12" s="46"/>
      <c r="K12" s="47">
        <v>15000</v>
      </c>
      <c r="L12" s="48">
        <f t="shared" si="0"/>
        <v>2015000</v>
      </c>
      <c r="M12" s="65"/>
      <c r="N12" s="66">
        <v>50000</v>
      </c>
      <c r="O12" s="66"/>
      <c r="P12" s="65"/>
      <c r="Q12" s="67">
        <f t="shared" si="1"/>
        <v>50000</v>
      </c>
      <c r="R12" s="52">
        <f t="shared" si="2"/>
        <v>2065000</v>
      </c>
      <c r="S12" s="68">
        <v>2016000</v>
      </c>
      <c r="T12" s="69">
        <f t="shared" si="3"/>
        <v>-49000</v>
      </c>
      <c r="U12" s="70">
        <v>2022</v>
      </c>
      <c r="V12" s="1" t="s">
        <v>33</v>
      </c>
      <c r="W12" s="11"/>
    </row>
    <row r="13" spans="1:23" ht="11.25">
      <c r="A13" s="58">
        <v>2023</v>
      </c>
      <c r="B13" s="43"/>
      <c r="C13" s="43">
        <v>900000</v>
      </c>
      <c r="D13" s="59">
        <f>2908759-1454000</f>
        <v>1454759</v>
      </c>
      <c r="E13" s="43">
        <v>126000</v>
      </c>
      <c r="F13" s="44">
        <v>126000</v>
      </c>
      <c r="G13" s="45">
        <v>2000000</v>
      </c>
      <c r="H13" s="43"/>
      <c r="I13" s="43"/>
      <c r="J13" s="46"/>
      <c r="K13" s="47">
        <v>23478.28</v>
      </c>
      <c r="L13" s="48">
        <f t="shared" si="0"/>
        <v>4630237.28</v>
      </c>
      <c r="M13" s="65"/>
      <c r="N13" s="66">
        <v>100000</v>
      </c>
      <c r="O13" s="66">
        <v>200000</v>
      </c>
      <c r="P13" s="65">
        <v>1000</v>
      </c>
      <c r="Q13" s="67">
        <f t="shared" si="1"/>
        <v>301000</v>
      </c>
      <c r="R13" s="52">
        <f t="shared" si="2"/>
        <v>4931237.28</v>
      </c>
      <c r="S13" s="68">
        <v>4931237.28</v>
      </c>
      <c r="T13" s="69">
        <f t="shared" si="3"/>
        <v>0</v>
      </c>
      <c r="U13" s="70">
        <v>2023</v>
      </c>
      <c r="V13" s="1" t="s">
        <v>33</v>
      </c>
      <c r="W13" s="11"/>
    </row>
    <row r="14" spans="1:23" ht="11.25">
      <c r="A14" s="58">
        <v>2024</v>
      </c>
      <c r="B14" s="43"/>
      <c r="C14" s="43"/>
      <c r="D14" s="43"/>
      <c r="E14" s="43">
        <v>126000</v>
      </c>
      <c r="F14" s="44">
        <v>126000</v>
      </c>
      <c r="G14" s="45">
        <v>1500000</v>
      </c>
      <c r="H14" s="43">
        <v>2500000</v>
      </c>
      <c r="I14" s="43">
        <f>1875000</f>
        <v>1875000</v>
      </c>
      <c r="J14" s="46"/>
      <c r="K14" s="47">
        <v>65217.4</v>
      </c>
      <c r="L14" s="48">
        <f t="shared" si="0"/>
        <v>6192217.4</v>
      </c>
      <c r="M14" s="65"/>
      <c r="N14" s="66">
        <v>150000</v>
      </c>
      <c r="O14" s="66">
        <v>200000</v>
      </c>
      <c r="P14" s="65">
        <v>1000</v>
      </c>
      <c r="Q14" s="67">
        <f t="shared" si="1"/>
        <v>351000</v>
      </c>
      <c r="R14" s="52">
        <f t="shared" si="2"/>
        <v>6543217.4</v>
      </c>
      <c r="S14" s="68">
        <v>6543217.4</v>
      </c>
      <c r="T14" s="69">
        <f t="shared" si="3"/>
        <v>0</v>
      </c>
      <c r="U14" s="70">
        <v>2024</v>
      </c>
      <c r="W14" s="11" t="s">
        <v>35</v>
      </c>
    </row>
    <row r="15" spans="1:23" ht="11.25">
      <c r="A15" s="58">
        <v>2025</v>
      </c>
      <c r="B15" s="43"/>
      <c r="C15" s="43"/>
      <c r="D15" s="43"/>
      <c r="E15" s="43">
        <v>126000</v>
      </c>
      <c r="F15" s="44">
        <v>126000</v>
      </c>
      <c r="G15" s="45"/>
      <c r="H15" s="43">
        <v>2500000</v>
      </c>
      <c r="I15" s="43">
        <f>1875000</f>
        <v>1875000</v>
      </c>
      <c r="J15" s="46"/>
      <c r="K15" s="47">
        <v>65217.4</v>
      </c>
      <c r="L15" s="48">
        <f t="shared" si="0"/>
        <v>4692217.4</v>
      </c>
      <c r="M15" s="65"/>
      <c r="N15" s="66">
        <v>150000</v>
      </c>
      <c r="O15" s="66">
        <v>200000</v>
      </c>
      <c r="P15" s="65">
        <v>2000</v>
      </c>
      <c r="Q15" s="67">
        <f t="shared" si="1"/>
        <v>352000</v>
      </c>
      <c r="R15" s="52">
        <f t="shared" si="2"/>
        <v>5044217.4</v>
      </c>
      <c r="S15" s="68">
        <v>5044217.4</v>
      </c>
      <c r="T15" s="69">
        <f t="shared" si="3"/>
        <v>0</v>
      </c>
      <c r="U15" s="70">
        <v>2025</v>
      </c>
      <c r="W15" s="11" t="s">
        <v>36</v>
      </c>
    </row>
    <row r="16" spans="1:23" ht="11.25">
      <c r="A16" s="58">
        <v>2026</v>
      </c>
      <c r="B16" s="43"/>
      <c r="C16" s="43"/>
      <c r="D16" s="43"/>
      <c r="E16" s="43">
        <v>126000</v>
      </c>
      <c r="F16" s="44">
        <v>126000</v>
      </c>
      <c r="G16" s="45"/>
      <c r="H16" s="43">
        <v>2500000</v>
      </c>
      <c r="I16" s="43">
        <v>1875000</v>
      </c>
      <c r="J16" s="46"/>
      <c r="K16" s="47">
        <v>65217.4</v>
      </c>
      <c r="L16" s="48">
        <f t="shared" si="0"/>
        <v>4692217.4</v>
      </c>
      <c r="M16" s="65"/>
      <c r="N16" s="66">
        <v>200000</v>
      </c>
      <c r="O16" s="66">
        <v>200000</v>
      </c>
      <c r="P16" s="65">
        <v>4000</v>
      </c>
      <c r="Q16" s="67">
        <f t="shared" si="1"/>
        <v>404000</v>
      </c>
      <c r="R16" s="52">
        <f t="shared" si="2"/>
        <v>5096217.4</v>
      </c>
      <c r="S16" s="68">
        <v>5096217.4</v>
      </c>
      <c r="T16" s="69">
        <f t="shared" si="3"/>
        <v>0</v>
      </c>
      <c r="U16" s="70">
        <v>2026</v>
      </c>
      <c r="W16" s="11" t="s">
        <v>37</v>
      </c>
    </row>
    <row r="17" spans="1:23" ht="11.25">
      <c r="A17" s="58">
        <v>2027</v>
      </c>
      <c r="B17" s="43"/>
      <c r="C17" s="43"/>
      <c r="D17" s="43"/>
      <c r="E17" s="43">
        <v>114000</v>
      </c>
      <c r="F17" s="44">
        <v>149591</v>
      </c>
      <c r="G17" s="45"/>
      <c r="H17" s="43">
        <v>2500000</v>
      </c>
      <c r="I17" s="43">
        <v>2000000</v>
      </c>
      <c r="J17" s="46">
        <v>1875000</v>
      </c>
      <c r="K17" s="47">
        <v>293478.28</v>
      </c>
      <c r="L17" s="48">
        <f t="shared" si="0"/>
        <v>6932069.28</v>
      </c>
      <c r="M17" s="65"/>
      <c r="N17" s="66">
        <v>200000</v>
      </c>
      <c r="O17" s="66">
        <v>200000</v>
      </c>
      <c r="P17" s="65">
        <v>5000</v>
      </c>
      <c r="Q17" s="67">
        <f t="shared" si="1"/>
        <v>405000</v>
      </c>
      <c r="R17" s="52">
        <f t="shared" si="2"/>
        <v>7337069.28</v>
      </c>
      <c r="S17" s="68">
        <v>7337069.28</v>
      </c>
      <c r="T17" s="69">
        <f t="shared" si="3"/>
        <v>0</v>
      </c>
      <c r="U17" s="70">
        <v>2027</v>
      </c>
      <c r="W17" s="72" t="s">
        <v>38</v>
      </c>
    </row>
    <row r="18" spans="1:23" ht="11.25">
      <c r="A18" s="58">
        <v>2028</v>
      </c>
      <c r="B18" s="43"/>
      <c r="C18" s="43"/>
      <c r="D18" s="43"/>
      <c r="E18" s="43"/>
      <c r="F18" s="44"/>
      <c r="G18" s="45"/>
      <c r="H18" s="43"/>
      <c r="I18" s="43">
        <v>2000000</v>
      </c>
      <c r="J18" s="46">
        <v>5100000</v>
      </c>
      <c r="K18" s="47">
        <v>293478.28</v>
      </c>
      <c r="L18" s="48">
        <f t="shared" si="0"/>
        <v>7393478.28</v>
      </c>
      <c r="M18" s="65"/>
      <c r="N18" s="66">
        <v>350000</v>
      </c>
      <c r="O18" s="66">
        <v>500000</v>
      </c>
      <c r="P18" s="65">
        <v>14000</v>
      </c>
      <c r="Q18" s="67">
        <f t="shared" si="1"/>
        <v>864000</v>
      </c>
      <c r="R18" s="52">
        <f t="shared" si="2"/>
        <v>8257478.28</v>
      </c>
      <c r="S18" s="68">
        <v>8257478.28</v>
      </c>
      <c r="T18" s="69">
        <f t="shared" si="3"/>
        <v>0</v>
      </c>
      <c r="U18" s="70">
        <v>2028</v>
      </c>
      <c r="W18" s="72" t="s">
        <v>39</v>
      </c>
    </row>
    <row r="19" spans="1:23" ht="11.25">
      <c r="A19" s="58">
        <v>2029</v>
      </c>
      <c r="B19" s="43"/>
      <c r="C19" s="43"/>
      <c r="D19" s="43"/>
      <c r="E19" s="43"/>
      <c r="F19" s="44"/>
      <c r="G19" s="45"/>
      <c r="H19" s="43"/>
      <c r="I19" s="43">
        <v>1375000</v>
      </c>
      <c r="J19" s="46">
        <v>5100000</v>
      </c>
      <c r="K19" s="47">
        <v>652173.92</v>
      </c>
      <c r="L19" s="48">
        <f t="shared" si="0"/>
        <v>7127173.92</v>
      </c>
      <c r="M19" s="65"/>
      <c r="N19" s="66">
        <v>1000000</v>
      </c>
      <c r="O19" s="66">
        <v>500000</v>
      </c>
      <c r="P19" s="65">
        <v>20000</v>
      </c>
      <c r="Q19" s="67">
        <f t="shared" si="1"/>
        <v>1520000</v>
      </c>
      <c r="R19" s="52">
        <f t="shared" si="2"/>
        <v>8647173.92</v>
      </c>
      <c r="S19" s="68">
        <v>8647173.92</v>
      </c>
      <c r="T19" s="69">
        <f t="shared" si="3"/>
        <v>0</v>
      </c>
      <c r="U19" s="70">
        <v>2029</v>
      </c>
      <c r="W19" s="72" t="s">
        <v>40</v>
      </c>
    </row>
    <row r="20" spans="1:23" ht="11.25">
      <c r="A20" s="58">
        <v>2030</v>
      </c>
      <c r="B20" s="43"/>
      <c r="C20" s="43"/>
      <c r="D20" s="43"/>
      <c r="E20" s="43"/>
      <c r="F20" s="44"/>
      <c r="G20" s="45"/>
      <c r="H20" s="43"/>
      <c r="I20" s="43">
        <v>1375000</v>
      </c>
      <c r="J20" s="46">
        <v>5323000</v>
      </c>
      <c r="K20" s="47">
        <v>652173.92</v>
      </c>
      <c r="L20" s="48">
        <f t="shared" si="0"/>
        <v>7350173.92</v>
      </c>
      <c r="M20" s="65"/>
      <c r="N20" s="66">
        <v>1000000</v>
      </c>
      <c r="O20" s="66">
        <v>500000</v>
      </c>
      <c r="P20" s="65">
        <v>20000</v>
      </c>
      <c r="Q20" s="67">
        <f t="shared" si="1"/>
        <v>1520000</v>
      </c>
      <c r="R20" s="52">
        <f t="shared" si="2"/>
        <v>8870173.92</v>
      </c>
      <c r="S20" s="68">
        <v>8870173.92</v>
      </c>
      <c r="T20" s="69">
        <f t="shared" si="3"/>
        <v>0</v>
      </c>
      <c r="U20" s="70">
        <v>2030</v>
      </c>
      <c r="W20" s="72" t="s">
        <v>41</v>
      </c>
    </row>
    <row r="21" spans="1:21" ht="11.25">
      <c r="A21" s="58">
        <v>2031</v>
      </c>
      <c r="B21" s="43"/>
      <c r="C21" s="43"/>
      <c r="D21" s="43"/>
      <c r="E21" s="43"/>
      <c r="F21" s="44"/>
      <c r="G21" s="45"/>
      <c r="H21" s="43"/>
      <c r="I21" s="43">
        <v>0</v>
      </c>
      <c r="J21" s="46">
        <v>5700000</v>
      </c>
      <c r="K21" s="47">
        <v>652173.92</v>
      </c>
      <c r="L21" s="48">
        <f t="shared" si="0"/>
        <v>6352173.92</v>
      </c>
      <c r="M21" s="65"/>
      <c r="N21" s="66">
        <v>1000000</v>
      </c>
      <c r="O21" s="66">
        <v>500000</v>
      </c>
      <c r="P21" s="65">
        <v>90000</v>
      </c>
      <c r="Q21" s="67">
        <f t="shared" si="1"/>
        <v>1590000</v>
      </c>
      <c r="R21" s="52">
        <f t="shared" si="2"/>
        <v>7942173.92</v>
      </c>
      <c r="S21" s="68">
        <v>7942173.92</v>
      </c>
      <c r="T21" s="69">
        <f t="shared" si="3"/>
        <v>0</v>
      </c>
      <c r="U21" s="70">
        <v>2031</v>
      </c>
    </row>
    <row r="22" spans="1:21" ht="11.25">
      <c r="A22" s="58">
        <v>2032</v>
      </c>
      <c r="B22" s="43"/>
      <c r="C22" s="43"/>
      <c r="D22" s="43"/>
      <c r="E22" s="43"/>
      <c r="F22" s="44"/>
      <c r="G22" s="45"/>
      <c r="H22" s="43"/>
      <c r="I22" s="43"/>
      <c r="J22" s="46">
        <v>1941000</v>
      </c>
      <c r="K22" s="73">
        <v>1695652.16</v>
      </c>
      <c r="L22" s="48">
        <f t="shared" si="0"/>
        <v>3636652.16</v>
      </c>
      <c r="M22" s="65"/>
      <c r="N22" s="66">
        <v>2000000</v>
      </c>
      <c r="O22" s="66">
        <v>500000</v>
      </c>
      <c r="P22" s="65">
        <v>1000000</v>
      </c>
      <c r="Q22" s="67">
        <f t="shared" si="1"/>
        <v>3500000</v>
      </c>
      <c r="R22" s="52">
        <f t="shared" si="2"/>
        <v>7136652.16</v>
      </c>
      <c r="S22" s="68">
        <v>7136652.16</v>
      </c>
      <c r="T22" s="69">
        <f t="shared" si="3"/>
        <v>0</v>
      </c>
      <c r="U22" s="70">
        <v>2032</v>
      </c>
    </row>
    <row r="23" spans="1:21" ht="11.25">
      <c r="A23" s="58">
        <v>2033</v>
      </c>
      <c r="B23" s="43"/>
      <c r="C23" s="43"/>
      <c r="D23" s="43"/>
      <c r="E23" s="43"/>
      <c r="F23" s="44"/>
      <c r="G23" s="45"/>
      <c r="H23" s="43"/>
      <c r="I23" s="43">
        <v>0</v>
      </c>
      <c r="J23" s="46"/>
      <c r="K23" s="74">
        <v>1695652.16</v>
      </c>
      <c r="L23" s="48">
        <f t="shared" si="0"/>
        <v>1695652.16</v>
      </c>
      <c r="M23" s="65"/>
      <c r="N23" s="66">
        <v>2000000</v>
      </c>
      <c r="O23" s="66">
        <v>500000</v>
      </c>
      <c r="P23" s="65">
        <v>2000000</v>
      </c>
      <c r="Q23" s="67">
        <f t="shared" si="1"/>
        <v>4500000</v>
      </c>
      <c r="R23" s="52">
        <f t="shared" si="2"/>
        <v>6195652.16</v>
      </c>
      <c r="S23" s="68">
        <v>6195652.16</v>
      </c>
      <c r="T23" s="69">
        <f t="shared" si="3"/>
        <v>0</v>
      </c>
      <c r="U23" s="70">
        <v>2033</v>
      </c>
    </row>
    <row r="24" spans="1:21" ht="11.25">
      <c r="A24" s="58">
        <v>2034</v>
      </c>
      <c r="B24" s="43"/>
      <c r="C24" s="43"/>
      <c r="D24" s="43"/>
      <c r="E24" s="43"/>
      <c r="F24" s="44"/>
      <c r="G24" s="45"/>
      <c r="H24" s="43"/>
      <c r="I24" s="43">
        <v>0</v>
      </c>
      <c r="J24" s="46"/>
      <c r="K24" s="74">
        <v>1695652.16</v>
      </c>
      <c r="L24" s="48">
        <f t="shared" si="0"/>
        <v>1695652.16</v>
      </c>
      <c r="M24" s="65"/>
      <c r="N24" s="66">
        <v>2000000</v>
      </c>
      <c r="O24" s="66">
        <v>500000</v>
      </c>
      <c r="P24" s="65">
        <v>2000000</v>
      </c>
      <c r="Q24" s="67">
        <f t="shared" si="1"/>
        <v>4500000</v>
      </c>
      <c r="R24" s="52">
        <f t="shared" si="2"/>
        <v>6195652.16</v>
      </c>
      <c r="S24" s="68">
        <v>6195652.16</v>
      </c>
      <c r="T24" s="69">
        <f t="shared" si="3"/>
        <v>0</v>
      </c>
      <c r="U24" s="70">
        <v>2034</v>
      </c>
    </row>
    <row r="25" spans="1:21" ht="11.25">
      <c r="A25" s="58">
        <v>2035</v>
      </c>
      <c r="B25" s="43"/>
      <c r="C25" s="43"/>
      <c r="D25" s="43"/>
      <c r="E25" s="43"/>
      <c r="F25" s="44"/>
      <c r="G25" s="45"/>
      <c r="H25" s="43"/>
      <c r="I25" s="43">
        <v>0</v>
      </c>
      <c r="J25" s="46"/>
      <c r="K25" s="74">
        <v>1695652.16</v>
      </c>
      <c r="L25" s="48">
        <f t="shared" si="0"/>
        <v>1695652.16</v>
      </c>
      <c r="M25" s="65"/>
      <c r="N25" s="66">
        <v>1000000</v>
      </c>
      <c r="O25" s="66">
        <v>500000</v>
      </c>
      <c r="P25" s="65">
        <v>2000000</v>
      </c>
      <c r="Q25" s="67">
        <f t="shared" si="1"/>
        <v>3500000</v>
      </c>
      <c r="R25" s="52">
        <f t="shared" si="2"/>
        <v>5195652.16</v>
      </c>
      <c r="S25" s="68">
        <v>5195652.16</v>
      </c>
      <c r="T25" s="69">
        <f t="shared" si="3"/>
        <v>0</v>
      </c>
      <c r="U25" s="70">
        <v>2035</v>
      </c>
    </row>
    <row r="26" spans="1:21" ht="11.25">
      <c r="A26" s="58">
        <v>2036</v>
      </c>
      <c r="B26" s="43"/>
      <c r="C26" s="43"/>
      <c r="D26" s="43"/>
      <c r="E26" s="43"/>
      <c r="F26" s="44"/>
      <c r="G26" s="45"/>
      <c r="H26" s="43"/>
      <c r="I26" s="43">
        <v>0</v>
      </c>
      <c r="J26" s="46"/>
      <c r="K26" s="74">
        <v>1695652.16</v>
      </c>
      <c r="L26" s="48">
        <f t="shared" si="0"/>
        <v>1695652.16</v>
      </c>
      <c r="M26" s="65"/>
      <c r="N26" s="66">
        <v>1000000</v>
      </c>
      <c r="O26" s="66">
        <v>500000</v>
      </c>
      <c r="P26" s="65">
        <v>2000000</v>
      </c>
      <c r="Q26" s="67">
        <f t="shared" si="1"/>
        <v>3500000</v>
      </c>
      <c r="R26" s="52">
        <f t="shared" si="2"/>
        <v>5195652.16</v>
      </c>
      <c r="S26" s="68">
        <v>5195652.16</v>
      </c>
      <c r="T26" s="69">
        <f t="shared" si="3"/>
        <v>0</v>
      </c>
      <c r="U26" s="70">
        <v>2036</v>
      </c>
    </row>
    <row r="27" spans="1:25" ht="11.25">
      <c r="A27" s="58">
        <v>2037</v>
      </c>
      <c r="B27" s="43"/>
      <c r="C27" s="43"/>
      <c r="D27" s="43"/>
      <c r="E27" s="43"/>
      <c r="F27" s="44"/>
      <c r="G27" s="45"/>
      <c r="H27" s="43"/>
      <c r="I27" s="43">
        <v>0</v>
      </c>
      <c r="J27" s="46"/>
      <c r="K27" s="47">
        <v>769565.2</v>
      </c>
      <c r="L27" s="48">
        <f t="shared" si="0"/>
        <v>769565.2</v>
      </c>
      <c r="M27" s="65"/>
      <c r="N27" s="66">
        <v>1000000</v>
      </c>
      <c r="O27" s="66">
        <v>500000</v>
      </c>
      <c r="P27" s="65">
        <v>2000000</v>
      </c>
      <c r="Q27" s="67">
        <f t="shared" si="1"/>
        <v>3500000</v>
      </c>
      <c r="R27" s="52">
        <f t="shared" si="2"/>
        <v>4269565.2</v>
      </c>
      <c r="S27" s="68">
        <v>4269565.2</v>
      </c>
      <c r="T27" s="69">
        <f t="shared" si="3"/>
        <v>0</v>
      </c>
      <c r="U27" s="70">
        <v>2037</v>
      </c>
      <c r="Y27" s="5"/>
    </row>
    <row r="28" spans="1:25" ht="11.25">
      <c r="A28" s="58">
        <v>2038</v>
      </c>
      <c r="B28" s="43"/>
      <c r="C28" s="43"/>
      <c r="D28" s="43"/>
      <c r="E28" s="43"/>
      <c r="F28" s="44"/>
      <c r="G28" s="45"/>
      <c r="H28" s="43"/>
      <c r="I28" s="43">
        <v>0</v>
      </c>
      <c r="J28" s="46"/>
      <c r="K28" s="47">
        <v>769565.2</v>
      </c>
      <c r="L28" s="48">
        <f t="shared" si="0"/>
        <v>769565.2</v>
      </c>
      <c r="M28" s="65"/>
      <c r="N28" s="66">
        <v>1000000</v>
      </c>
      <c r="O28" s="66">
        <v>1000000</v>
      </c>
      <c r="P28" s="65">
        <v>2000000</v>
      </c>
      <c r="Q28" s="67">
        <f t="shared" si="1"/>
        <v>4000000</v>
      </c>
      <c r="R28" s="52">
        <f t="shared" si="2"/>
        <v>4769565.2</v>
      </c>
      <c r="S28" s="68">
        <v>4769565.2</v>
      </c>
      <c r="T28" s="69">
        <f t="shared" si="3"/>
        <v>0</v>
      </c>
      <c r="U28" s="70">
        <v>2038</v>
      </c>
      <c r="Y28" s="5"/>
    </row>
    <row r="29" spans="1:25" ht="11.25">
      <c r="A29" s="58">
        <v>2039</v>
      </c>
      <c r="B29" s="43"/>
      <c r="C29" s="43"/>
      <c r="D29" s="43"/>
      <c r="E29" s="43"/>
      <c r="F29" s="44"/>
      <c r="G29" s="45"/>
      <c r="H29" s="43"/>
      <c r="I29" s="43">
        <v>0</v>
      </c>
      <c r="J29" s="46"/>
      <c r="K29" s="47">
        <v>769565.2</v>
      </c>
      <c r="L29" s="48">
        <f t="shared" si="0"/>
        <v>769565.2</v>
      </c>
      <c r="M29" s="65"/>
      <c r="N29" s="66">
        <v>1000000</v>
      </c>
      <c r="O29" s="66">
        <v>1000000</v>
      </c>
      <c r="P29" s="65">
        <v>2000000</v>
      </c>
      <c r="Q29" s="67">
        <f t="shared" si="1"/>
        <v>4000000</v>
      </c>
      <c r="R29" s="52">
        <f t="shared" si="2"/>
        <v>4769565.2</v>
      </c>
      <c r="S29" s="68">
        <v>4769565.2</v>
      </c>
      <c r="T29" s="69">
        <f t="shared" si="3"/>
        <v>0</v>
      </c>
      <c r="U29" s="70">
        <v>2039</v>
      </c>
      <c r="Y29" s="5"/>
    </row>
    <row r="30" spans="1:21" ht="11.25">
      <c r="A30" s="58">
        <v>2040</v>
      </c>
      <c r="B30" s="43"/>
      <c r="C30" s="43"/>
      <c r="D30" s="43"/>
      <c r="E30" s="43"/>
      <c r="F30" s="44"/>
      <c r="G30" s="45"/>
      <c r="H30" s="43"/>
      <c r="I30" s="43">
        <v>0</v>
      </c>
      <c r="J30" s="46"/>
      <c r="K30" s="47">
        <v>769565.2</v>
      </c>
      <c r="L30" s="48">
        <f t="shared" si="0"/>
        <v>769565.2</v>
      </c>
      <c r="M30" s="65"/>
      <c r="N30" s="66">
        <v>1000000</v>
      </c>
      <c r="O30" s="66">
        <v>1000000</v>
      </c>
      <c r="P30" s="65">
        <v>1500000</v>
      </c>
      <c r="Q30" s="67">
        <f t="shared" si="1"/>
        <v>3500000</v>
      </c>
      <c r="R30" s="52">
        <f t="shared" si="2"/>
        <v>4269565.2</v>
      </c>
      <c r="S30" s="68">
        <v>4269565.2</v>
      </c>
      <c r="T30" s="69">
        <f t="shared" si="3"/>
        <v>0</v>
      </c>
      <c r="U30" s="70">
        <v>2040</v>
      </c>
    </row>
    <row r="31" spans="1:21" ht="11.25">
      <c r="A31" s="58">
        <v>2041</v>
      </c>
      <c r="B31" s="75"/>
      <c r="C31" s="75"/>
      <c r="D31" s="75"/>
      <c r="E31" s="75"/>
      <c r="F31" s="76"/>
      <c r="G31" s="77"/>
      <c r="H31" s="75"/>
      <c r="I31" s="75"/>
      <c r="J31" s="78"/>
      <c r="K31" s="79">
        <f>652173.96-7304.36</f>
        <v>644869.6</v>
      </c>
      <c r="L31" s="48">
        <f t="shared" si="0"/>
        <v>644869.6</v>
      </c>
      <c r="M31" s="80"/>
      <c r="N31" s="183">
        <f>1100000-306493.82-50000-43506.18</f>
        <v>699999.9999999999</v>
      </c>
      <c r="O31" s="66">
        <v>1000000</v>
      </c>
      <c r="P31" s="80">
        <v>1278000</v>
      </c>
      <c r="Q31" s="67">
        <f t="shared" si="1"/>
        <v>2978000</v>
      </c>
      <c r="R31" s="82">
        <f t="shared" si="2"/>
        <v>3622869.6</v>
      </c>
      <c r="S31" s="83">
        <v>3714375.78</v>
      </c>
      <c r="T31" s="69">
        <f t="shared" si="3"/>
        <v>91506.1799999997</v>
      </c>
      <c r="U31" s="70">
        <v>2041</v>
      </c>
    </row>
    <row r="32" spans="1:25" ht="11.25">
      <c r="A32" s="84" t="s">
        <v>42</v>
      </c>
      <c r="B32" s="85">
        <f>SUM(B11:B24)</f>
        <v>0</v>
      </c>
      <c r="C32" s="86">
        <f>SUM(C11:C24)</f>
        <v>900000</v>
      </c>
      <c r="D32" s="85">
        <f>SUM(D10:D24)</f>
        <v>2908759</v>
      </c>
      <c r="E32" s="87">
        <f>SUM(E11:E24)</f>
        <v>744000</v>
      </c>
      <c r="F32" s="88">
        <f>SUM(F11:F24)</f>
        <v>779591</v>
      </c>
      <c r="G32" s="89">
        <f>SUM(G10:G24)</f>
        <v>7500000</v>
      </c>
      <c r="H32" s="85">
        <f>SUM(H10:H24)</f>
        <v>10000000</v>
      </c>
      <c r="I32" s="86">
        <f>SUM(I10:I30)</f>
        <v>16625000</v>
      </c>
      <c r="J32" s="85">
        <f>SUM(J10:J30)</f>
        <v>25039000</v>
      </c>
      <c r="K32" s="85">
        <f>SUM(K10:K31)</f>
        <v>14999999.999999996</v>
      </c>
      <c r="L32" s="90">
        <f>SUM(L10:L30)</f>
        <v>80173471.4</v>
      </c>
      <c r="M32" s="85">
        <f>SUM(M10:M31)</f>
        <v>0</v>
      </c>
      <c r="N32" s="85">
        <f>SUM(N10:N31)</f>
        <v>16900000</v>
      </c>
      <c r="O32" s="85">
        <f>SUM(O10:O31)</f>
        <v>10000000</v>
      </c>
      <c r="P32" s="85">
        <f>SUM(P10:P31)</f>
        <v>17935000</v>
      </c>
      <c r="Q32" s="91">
        <f>SUM(M32:O32)</f>
        <v>26900000</v>
      </c>
      <c r="R32" s="92">
        <f t="shared" si="2"/>
        <v>107073471.4</v>
      </c>
      <c r="S32" s="92">
        <f>SUM(S10:S31)</f>
        <v>130568838.17999999</v>
      </c>
      <c r="T32" s="24"/>
      <c r="U32" s="93" t="s">
        <v>42</v>
      </c>
      <c r="Y32" s="94"/>
    </row>
    <row r="33" spans="1:16" ht="11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24" ht="11.25">
      <c r="A34" s="2"/>
      <c r="B34" s="96"/>
      <c r="C34" s="97" t="s">
        <v>43</v>
      </c>
      <c r="D34" s="97"/>
      <c r="E34" s="97"/>
      <c r="F34" s="98"/>
      <c r="G34" s="95"/>
      <c r="H34" s="95"/>
      <c r="I34" s="95"/>
      <c r="J34" s="95"/>
      <c r="K34" s="95"/>
      <c r="L34" s="95"/>
      <c r="M34" s="95"/>
      <c r="N34" s="95"/>
      <c r="O34" s="95"/>
      <c r="P34" s="95"/>
      <c r="R34" s="99" t="s">
        <v>32</v>
      </c>
      <c r="S34" s="99" t="s">
        <v>44</v>
      </c>
      <c r="T34" s="100" t="s">
        <v>45</v>
      </c>
      <c r="U34" s="101" t="s">
        <v>40</v>
      </c>
      <c r="V34" s="102" t="s">
        <v>46</v>
      </c>
      <c r="W34" s="103" t="s">
        <v>47</v>
      </c>
      <c r="X34" s="104"/>
    </row>
    <row r="35" spans="1:24" ht="45">
      <c r="A35" s="105" t="s">
        <v>48</v>
      </c>
      <c r="B35" s="106" t="str">
        <f>B9</f>
        <v>Oleśnica/12</v>
      </c>
      <c r="C35" s="106" t="s">
        <v>15</v>
      </c>
      <c r="D35" s="106" t="str">
        <f>D9</f>
        <v>Oleśnica /13</v>
      </c>
      <c r="E35" s="107" t="str">
        <f>E9</f>
        <v>Żmigród- 155/14</v>
      </c>
      <c r="F35" s="107" t="str">
        <f>F9</f>
        <v>Zmigród-156/14</v>
      </c>
      <c r="G35" s="108" t="str">
        <f>G9</f>
        <v>Getin /15</v>
      </c>
      <c r="H35" s="108" t="s">
        <v>49</v>
      </c>
      <c r="I35" s="108" t="s">
        <v>50</v>
      </c>
      <c r="J35" s="108" t="s">
        <v>51</v>
      </c>
      <c r="K35" s="109" t="s">
        <v>52</v>
      </c>
      <c r="L35" s="110" t="s">
        <v>53</v>
      </c>
      <c r="M35" s="111" t="s">
        <v>25</v>
      </c>
      <c r="N35" s="112" t="s">
        <v>54</v>
      </c>
      <c r="O35" s="112" t="s">
        <v>27</v>
      </c>
      <c r="P35" s="111" t="s">
        <v>25</v>
      </c>
      <c r="Q35" s="113" t="s">
        <v>55</v>
      </c>
      <c r="R35" s="114" t="s">
        <v>56</v>
      </c>
      <c r="S35" s="115" t="s">
        <v>57</v>
      </c>
      <c r="T35" s="116" t="s">
        <v>58</v>
      </c>
      <c r="U35" s="117" t="s">
        <v>59</v>
      </c>
      <c r="V35" s="118" t="s">
        <v>60</v>
      </c>
      <c r="W35" s="119" t="s">
        <v>61</v>
      </c>
      <c r="X35" s="120" t="s">
        <v>48</v>
      </c>
    </row>
    <row r="36" spans="1:24" ht="11.25">
      <c r="A36" s="58">
        <v>2020</v>
      </c>
      <c r="B36" s="121">
        <v>20294.43</v>
      </c>
      <c r="C36" s="121">
        <v>33341.9</v>
      </c>
      <c r="D36" s="121">
        <v>59901.31</v>
      </c>
      <c r="E36" s="121">
        <v>45280.38</v>
      </c>
      <c r="F36" s="121">
        <v>47202.35</v>
      </c>
      <c r="G36" s="121">
        <v>205875</v>
      </c>
      <c r="H36" s="121">
        <v>213630</v>
      </c>
      <c r="I36" s="121">
        <v>419052.8</v>
      </c>
      <c r="J36" s="121">
        <v>635990.6</v>
      </c>
      <c r="K36" s="122"/>
      <c r="L36" s="123">
        <f aca="true" t="shared" si="4" ref="L36:L57">SUM(B36:K36)</f>
        <v>1680568.77</v>
      </c>
      <c r="M36" s="124"/>
      <c r="N36" s="60"/>
      <c r="O36" s="60"/>
      <c r="P36" s="124"/>
      <c r="Q36" s="125">
        <f>SUM(M36:M36)</f>
        <v>0</v>
      </c>
      <c r="R36" s="126">
        <f aca="true" t="shared" si="5" ref="R36:R57">L36+Q36</f>
        <v>1680568.77</v>
      </c>
      <c r="S36" s="127">
        <v>1680568.77</v>
      </c>
      <c r="T36" s="128">
        <f aca="true" t="shared" si="6" ref="T36:T58">S36-R36</f>
        <v>0</v>
      </c>
      <c r="U36" s="129">
        <v>2050000</v>
      </c>
      <c r="V36" s="130">
        <f aca="true" t="shared" si="7" ref="V36:V57">U36-R36</f>
        <v>369431.23</v>
      </c>
      <c r="W36" s="131">
        <f>2050000</f>
        <v>2050000</v>
      </c>
      <c r="X36" s="132">
        <v>2020</v>
      </c>
    </row>
    <row r="37" spans="1:26" ht="11.25">
      <c r="A37" s="58">
        <f aca="true" t="shared" si="8" ref="A37:A43">A11</f>
        <v>2021</v>
      </c>
      <c r="B37" s="133"/>
      <c r="C37" s="133">
        <v>27720</v>
      </c>
      <c r="D37" s="60">
        <v>45085.76</v>
      </c>
      <c r="E37" s="133">
        <v>36456</v>
      </c>
      <c r="F37" s="133">
        <v>38199.96</v>
      </c>
      <c r="G37" s="133">
        <v>164250</v>
      </c>
      <c r="H37" s="133">
        <v>159000</v>
      </c>
      <c r="I37" s="133">
        <v>258637.5</v>
      </c>
      <c r="J37" s="133">
        <v>473237.1</v>
      </c>
      <c r="K37" s="122">
        <v>285682.62</v>
      </c>
      <c r="L37" s="123">
        <f t="shared" si="4"/>
        <v>1488268.94</v>
      </c>
      <c r="M37" s="124"/>
      <c r="N37" s="60">
        <v>15214.630136986301</v>
      </c>
      <c r="O37" s="60"/>
      <c r="P37" s="124">
        <v>226076.56</v>
      </c>
      <c r="Q37" s="125">
        <f aca="true" t="shared" si="9" ref="Q37:Q57">SUM(N37:P37)</f>
        <v>241291.1901369863</v>
      </c>
      <c r="R37" s="126">
        <f t="shared" si="5"/>
        <v>1729560.1301369863</v>
      </c>
      <c r="S37" s="127">
        <v>1891956.32</v>
      </c>
      <c r="T37" s="128">
        <f t="shared" si="6"/>
        <v>162396.1898630138</v>
      </c>
      <c r="U37" s="134">
        <v>2050000</v>
      </c>
      <c r="V37" s="130">
        <f t="shared" si="7"/>
        <v>320439.86986301374</v>
      </c>
      <c r="W37" s="135">
        <f>3920000-620</f>
        <v>3919380</v>
      </c>
      <c r="X37" s="132">
        <v>2021</v>
      </c>
      <c r="Y37" s="94">
        <f>U37-W37</f>
        <v>-1869380</v>
      </c>
      <c r="Z37" s="94">
        <f aca="true" t="shared" si="10" ref="Z37:Z57">U37-W37</f>
        <v>-1869380</v>
      </c>
    </row>
    <row r="38" spans="1:26" ht="11.25">
      <c r="A38" s="58">
        <f t="shared" si="8"/>
        <v>2022</v>
      </c>
      <c r="B38" s="133"/>
      <c r="C38" s="133">
        <v>27720</v>
      </c>
      <c r="D38" s="60">
        <v>22548.76</v>
      </c>
      <c r="E38" s="133">
        <v>36456</v>
      </c>
      <c r="F38" s="133">
        <v>38199.96</v>
      </c>
      <c r="G38" s="133">
        <v>120450</v>
      </c>
      <c r="H38" s="133">
        <v>159000</v>
      </c>
      <c r="I38" s="133">
        <v>258637.5</v>
      </c>
      <c r="J38" s="133">
        <v>473237.1</v>
      </c>
      <c r="K38" s="122">
        <v>284632.22</v>
      </c>
      <c r="L38" s="123">
        <f t="shared" si="4"/>
        <v>1420881.5399999998</v>
      </c>
      <c r="M38" s="124"/>
      <c r="N38" s="60">
        <v>178740.68493150687</v>
      </c>
      <c r="O38" s="60">
        <v>25479.45</v>
      </c>
      <c r="P38" s="124">
        <v>385572.89</v>
      </c>
      <c r="Q38" s="125">
        <f t="shared" si="9"/>
        <v>589793.024931507</v>
      </c>
      <c r="R38" s="126">
        <f t="shared" si="5"/>
        <v>2010674.5649315068</v>
      </c>
      <c r="S38" s="127">
        <v>2385486.32</v>
      </c>
      <c r="T38" s="128">
        <f t="shared" si="6"/>
        <v>374811.7550684931</v>
      </c>
      <c r="U38" s="134">
        <v>2601206.25</v>
      </c>
      <c r="V38" s="130">
        <f t="shared" si="7"/>
        <v>590531.6850684932</v>
      </c>
      <c r="W38" s="135">
        <f>4710000-2000000-24000</f>
        <v>2686000</v>
      </c>
      <c r="X38" s="132">
        <v>2022</v>
      </c>
      <c r="Y38" s="94">
        <f>U38-W38</f>
        <v>-84793.75</v>
      </c>
      <c r="Z38" s="94">
        <f t="shared" si="10"/>
        <v>-84793.75</v>
      </c>
    </row>
    <row r="39" spans="1:26" ht="11.25">
      <c r="A39" s="58">
        <f t="shared" si="8"/>
        <v>2023</v>
      </c>
      <c r="B39" s="133"/>
      <c r="C39" s="136">
        <v>27720</v>
      </c>
      <c r="D39" s="60">
        <v>22548.76</v>
      </c>
      <c r="E39" s="133">
        <v>30282</v>
      </c>
      <c r="F39" s="133">
        <v>32025.96</v>
      </c>
      <c r="G39" s="133">
        <v>98550</v>
      </c>
      <c r="H39" s="133">
        <v>159000</v>
      </c>
      <c r="I39" s="133">
        <v>258637.5</v>
      </c>
      <c r="J39" s="133">
        <v>473237.1</v>
      </c>
      <c r="K39" s="122">
        <v>284286.43</v>
      </c>
      <c r="L39" s="123">
        <f t="shared" si="4"/>
        <v>1386287.7499999998</v>
      </c>
      <c r="M39" s="124"/>
      <c r="N39" s="60">
        <v>177811.3698630137</v>
      </c>
      <c r="O39" s="60">
        <v>105199.92</v>
      </c>
      <c r="P39" s="124">
        <v>385551.39</v>
      </c>
      <c r="Q39" s="125">
        <f t="shared" si="9"/>
        <v>668562.6798630138</v>
      </c>
      <c r="R39" s="126">
        <f t="shared" si="5"/>
        <v>2054850.4298630136</v>
      </c>
      <c r="S39" s="127">
        <v>2350128.32</v>
      </c>
      <c r="T39" s="128">
        <f t="shared" si="6"/>
        <v>295277.8901369863</v>
      </c>
      <c r="U39" s="134">
        <v>2870099</v>
      </c>
      <c r="V39" s="130">
        <f t="shared" si="7"/>
        <v>815248.5701369864</v>
      </c>
      <c r="W39" s="135">
        <f>4509000-2000000-15000</f>
        <v>2494000</v>
      </c>
      <c r="X39" s="132">
        <v>2023</v>
      </c>
      <c r="Y39" s="94">
        <f>U39-W39</f>
        <v>376099</v>
      </c>
      <c r="Z39" s="94">
        <f t="shared" si="10"/>
        <v>376099</v>
      </c>
    </row>
    <row r="40" spans="1:26" ht="11.25">
      <c r="A40" s="58">
        <f t="shared" si="8"/>
        <v>2024</v>
      </c>
      <c r="B40" s="133"/>
      <c r="C40" s="133"/>
      <c r="D40" s="133"/>
      <c r="E40" s="133">
        <v>24108</v>
      </c>
      <c r="F40" s="133">
        <v>25851.96</v>
      </c>
      <c r="G40" s="133">
        <v>76650</v>
      </c>
      <c r="H40" s="133">
        <v>155623.97</v>
      </c>
      <c r="I40" s="133">
        <v>219450</v>
      </c>
      <c r="J40" s="133">
        <v>473237.1</v>
      </c>
      <c r="K40" s="122">
        <v>284319.16</v>
      </c>
      <c r="L40" s="123">
        <f t="shared" si="4"/>
        <v>1259240.19</v>
      </c>
      <c r="M40" s="124"/>
      <c r="N40" s="60">
        <v>176355.32786885244</v>
      </c>
      <c r="O40" s="60">
        <v>103082.1</v>
      </c>
      <c r="P40" s="124">
        <v>385529.89</v>
      </c>
      <c r="Q40" s="125">
        <f t="shared" si="9"/>
        <v>664967.3178688525</v>
      </c>
      <c r="R40" s="126">
        <f t="shared" si="5"/>
        <v>1924207.5078688525</v>
      </c>
      <c r="S40" s="127">
        <v>2197481.03</v>
      </c>
      <c r="T40" s="128">
        <f t="shared" si="6"/>
        <v>273273.5221311473</v>
      </c>
      <c r="U40" s="134">
        <v>2710782.27</v>
      </c>
      <c r="V40" s="130">
        <f t="shared" si="7"/>
        <v>786574.7621311476</v>
      </c>
      <c r="W40" s="135">
        <f aca="true" t="shared" si="11" ref="W40:W57">U40-T40</f>
        <v>2437508.7478688527</v>
      </c>
      <c r="X40" s="132">
        <v>2024</v>
      </c>
      <c r="Y40" s="94"/>
      <c r="Z40" s="94">
        <f t="shared" si="10"/>
        <v>273273.5221311473</v>
      </c>
    </row>
    <row r="41" spans="1:26" ht="11.25">
      <c r="A41" s="58">
        <f t="shared" si="8"/>
        <v>2025</v>
      </c>
      <c r="B41" s="133"/>
      <c r="C41" s="133"/>
      <c r="D41" s="133"/>
      <c r="E41" s="133">
        <v>17934</v>
      </c>
      <c r="F41" s="133">
        <v>19677.96</v>
      </c>
      <c r="G41" s="133"/>
      <c r="H41" s="133">
        <v>115873.97</v>
      </c>
      <c r="I41" s="133">
        <v>180262.5</v>
      </c>
      <c r="J41" s="133">
        <v>473237.1</v>
      </c>
      <c r="K41" s="122">
        <v>282301.92</v>
      </c>
      <c r="L41" s="123">
        <f t="shared" si="4"/>
        <v>1089287.45</v>
      </c>
      <c r="M41" s="124"/>
      <c r="N41" s="60">
        <v>174762.05479452055</v>
      </c>
      <c r="O41" s="60">
        <v>100959.92</v>
      </c>
      <c r="P41" s="124">
        <v>385500.27</v>
      </c>
      <c r="Q41" s="125">
        <f t="shared" si="9"/>
        <v>661222.2447945205</v>
      </c>
      <c r="R41" s="126">
        <f t="shared" si="5"/>
        <v>1750509.6947945205</v>
      </c>
      <c r="S41" s="127">
        <v>2026485.53</v>
      </c>
      <c r="T41" s="128">
        <f t="shared" si="6"/>
        <v>275975.8352054795</v>
      </c>
      <c r="U41" s="134">
        <v>2530694.6</v>
      </c>
      <c r="V41" s="130">
        <f t="shared" si="7"/>
        <v>780184.9052054796</v>
      </c>
      <c r="W41" s="135">
        <f t="shared" si="11"/>
        <v>2254718.7647945206</v>
      </c>
      <c r="X41" s="132">
        <v>2025</v>
      </c>
      <c r="Y41" s="94"/>
      <c r="Z41" s="94">
        <f t="shared" si="10"/>
        <v>275975.8352054795</v>
      </c>
    </row>
    <row r="42" spans="1:26" ht="11.25">
      <c r="A42" s="58">
        <f t="shared" si="8"/>
        <v>2026</v>
      </c>
      <c r="B42" s="133"/>
      <c r="C42" s="133"/>
      <c r="D42" s="133"/>
      <c r="E42" s="133">
        <v>11760</v>
      </c>
      <c r="F42" s="133">
        <v>13503.96</v>
      </c>
      <c r="G42" s="133"/>
      <c r="H42" s="133">
        <v>76123.97</v>
      </c>
      <c r="I42" s="133">
        <v>141075</v>
      </c>
      <c r="J42" s="133">
        <v>473237.1</v>
      </c>
      <c r="K42" s="122">
        <v>281062.79</v>
      </c>
      <c r="L42" s="123">
        <f t="shared" si="4"/>
        <v>996762.8200000001</v>
      </c>
      <c r="M42" s="124"/>
      <c r="N42" s="60">
        <v>172772.7397260274</v>
      </c>
      <c r="O42" s="60">
        <v>98839.92</v>
      </c>
      <c r="P42" s="124">
        <v>385441.04</v>
      </c>
      <c r="Q42" s="125">
        <f t="shared" si="9"/>
        <v>657053.6997260274</v>
      </c>
      <c r="R42" s="126">
        <f t="shared" si="5"/>
        <v>1653816.5197260275</v>
      </c>
      <c r="S42" s="127">
        <v>1932080.03</v>
      </c>
      <c r="T42" s="128">
        <f t="shared" si="6"/>
        <v>278263.5102739725</v>
      </c>
      <c r="U42" s="134">
        <v>2427333.78</v>
      </c>
      <c r="V42" s="130">
        <f t="shared" si="7"/>
        <v>773517.2602739723</v>
      </c>
      <c r="W42" s="135">
        <f t="shared" si="11"/>
        <v>2149070.2697260273</v>
      </c>
      <c r="X42" s="132">
        <v>2026</v>
      </c>
      <c r="Y42" s="94"/>
      <c r="Z42" s="94">
        <f t="shared" si="10"/>
        <v>278263.5102739725</v>
      </c>
    </row>
    <row r="43" spans="1:26" ht="11.25">
      <c r="A43" s="58">
        <f t="shared" si="8"/>
        <v>2027</v>
      </c>
      <c r="B43" s="133"/>
      <c r="C43" s="133"/>
      <c r="D43" s="133"/>
      <c r="E43" s="133">
        <v>5586</v>
      </c>
      <c r="F43" s="133">
        <v>7329.96</v>
      </c>
      <c r="G43" s="133"/>
      <c r="H43" s="133">
        <v>36373.97</v>
      </c>
      <c r="I43" s="133">
        <v>99275</v>
      </c>
      <c r="J43" s="133">
        <v>473237.1</v>
      </c>
      <c r="K43" s="122">
        <v>278186.9</v>
      </c>
      <c r="L43" s="123">
        <f t="shared" si="4"/>
        <v>899988.93</v>
      </c>
      <c r="M43" s="124"/>
      <c r="N43" s="60">
        <v>170652.7397260274</v>
      </c>
      <c r="O43" s="60">
        <v>96719.92</v>
      </c>
      <c r="P43" s="124">
        <v>385346.93</v>
      </c>
      <c r="Q43" s="125">
        <f t="shared" si="9"/>
        <v>652719.5897260273</v>
      </c>
      <c r="R43" s="126">
        <f t="shared" si="5"/>
        <v>1552708.5197260273</v>
      </c>
      <c r="S43" s="127">
        <v>1824532.03</v>
      </c>
      <c r="T43" s="128">
        <f t="shared" si="6"/>
        <v>271823.51027397276</v>
      </c>
      <c r="U43" s="134">
        <v>2318240.51</v>
      </c>
      <c r="V43" s="130">
        <f t="shared" si="7"/>
        <v>765531.9902739725</v>
      </c>
      <c r="W43" s="135">
        <f t="shared" si="11"/>
        <v>2046416.999726027</v>
      </c>
      <c r="X43" s="132">
        <v>2027</v>
      </c>
      <c r="Y43" s="94"/>
      <c r="Z43" s="94">
        <f t="shared" si="10"/>
        <v>271823.51027397276</v>
      </c>
    </row>
    <row r="44" spans="1:26" ht="11.25">
      <c r="A44" s="58">
        <v>2028</v>
      </c>
      <c r="B44" s="133"/>
      <c r="C44" s="133"/>
      <c r="D44" s="133"/>
      <c r="E44" s="133"/>
      <c r="F44" s="133"/>
      <c r="G44" s="133"/>
      <c r="H44" s="133"/>
      <c r="I44" s="133">
        <v>57475</v>
      </c>
      <c r="J44" s="133">
        <v>437799.6</v>
      </c>
      <c r="K44" s="122">
        <v>273363.46</v>
      </c>
      <c r="L44" s="123">
        <f t="shared" si="4"/>
        <v>768638.06</v>
      </c>
      <c r="M44" s="124"/>
      <c r="N44" s="60">
        <v>167342.43169398906</v>
      </c>
      <c r="O44" s="60">
        <v>93405.26</v>
      </c>
      <c r="P44" s="124">
        <v>385166.4</v>
      </c>
      <c r="Q44" s="125">
        <f t="shared" si="9"/>
        <v>645914.091693989</v>
      </c>
      <c r="R44" s="126">
        <f t="shared" si="5"/>
        <v>1414552.151693989</v>
      </c>
      <c r="S44" s="127">
        <v>1684084.6</v>
      </c>
      <c r="T44" s="128">
        <f t="shared" si="6"/>
        <v>269532.44830601104</v>
      </c>
      <c r="U44" s="134">
        <v>2168434.2</v>
      </c>
      <c r="V44" s="130">
        <f t="shared" si="7"/>
        <v>753882.0483060111</v>
      </c>
      <c r="W44" s="135">
        <f t="shared" si="11"/>
        <v>1898901.7516939892</v>
      </c>
      <c r="X44" s="132">
        <v>2028</v>
      </c>
      <c r="Y44" s="94"/>
      <c r="Z44" s="94">
        <f t="shared" si="10"/>
        <v>269532.44830601104</v>
      </c>
    </row>
    <row r="45" spans="1:26" ht="11.25">
      <c r="A45" s="58">
        <v>2029</v>
      </c>
      <c r="B45" s="133"/>
      <c r="C45" s="133"/>
      <c r="D45" s="133"/>
      <c r="E45" s="133"/>
      <c r="F45" s="133"/>
      <c r="G45" s="133"/>
      <c r="H45" s="133"/>
      <c r="I45" s="133">
        <v>57475</v>
      </c>
      <c r="J45" s="133">
        <v>341409.6</v>
      </c>
      <c r="K45" s="122">
        <v>264462.68</v>
      </c>
      <c r="L45" s="123">
        <f t="shared" si="4"/>
        <v>663347.28</v>
      </c>
      <c r="M45" s="124"/>
      <c r="N45" s="60">
        <v>162419.5890410959</v>
      </c>
      <c r="O45" s="60">
        <v>88099.79</v>
      </c>
      <c r="P45" s="124">
        <v>384816.72</v>
      </c>
      <c r="Q45" s="125">
        <f t="shared" si="9"/>
        <v>635336.0990410959</v>
      </c>
      <c r="R45" s="126">
        <f t="shared" si="5"/>
        <v>1298683.379041096</v>
      </c>
      <c r="S45" s="127">
        <v>1557094.6</v>
      </c>
      <c r="T45" s="128">
        <f t="shared" si="6"/>
        <v>258411.22095890413</v>
      </c>
      <c r="U45" s="134">
        <v>2030463.17</v>
      </c>
      <c r="V45" s="130">
        <f t="shared" si="7"/>
        <v>731779.790958904</v>
      </c>
      <c r="W45" s="135">
        <f t="shared" si="11"/>
        <v>1772051.9490410958</v>
      </c>
      <c r="X45" s="132">
        <v>2029</v>
      </c>
      <c r="Y45" s="94"/>
      <c r="Z45" s="94">
        <f t="shared" si="10"/>
        <v>258411.22095890413</v>
      </c>
    </row>
    <row r="46" spans="1:26" ht="11.25">
      <c r="A46" s="58">
        <v>2030</v>
      </c>
      <c r="B46" s="133"/>
      <c r="C46" s="133"/>
      <c r="D46" s="133"/>
      <c r="E46" s="133"/>
      <c r="F46" s="133"/>
      <c r="G46" s="133"/>
      <c r="H46" s="133"/>
      <c r="I46" s="133">
        <v>28737.5</v>
      </c>
      <c r="J46" s="133">
        <v>245019.6</v>
      </c>
      <c r="K46" s="122">
        <v>252071.38</v>
      </c>
      <c r="L46" s="123">
        <f t="shared" si="4"/>
        <v>525828.48</v>
      </c>
      <c r="M46" s="124"/>
      <c r="N46" s="60">
        <v>151819.5890410959</v>
      </c>
      <c r="O46" s="60">
        <v>82799.79</v>
      </c>
      <c r="P46" s="124">
        <v>384386.72</v>
      </c>
      <c r="Q46" s="125">
        <f t="shared" si="9"/>
        <v>619006.0990410959</v>
      </c>
      <c r="R46" s="126">
        <f t="shared" si="5"/>
        <v>1144834.579041096</v>
      </c>
      <c r="S46" s="127">
        <v>1401367.1</v>
      </c>
      <c r="T46" s="128">
        <f t="shared" si="6"/>
        <v>256532.52095890418</v>
      </c>
      <c r="U46" s="134">
        <v>1850405.67</v>
      </c>
      <c r="V46" s="130">
        <f t="shared" si="7"/>
        <v>705571.090958904</v>
      </c>
      <c r="W46" s="135">
        <f t="shared" si="11"/>
        <v>1593873.1490410957</v>
      </c>
      <c r="X46" s="132">
        <v>2030</v>
      </c>
      <c r="Y46" s="94"/>
      <c r="Z46" s="94">
        <f t="shared" si="10"/>
        <v>256532.52095890418</v>
      </c>
    </row>
    <row r="47" spans="1:26" ht="11.25">
      <c r="A47" s="58">
        <v>2031</v>
      </c>
      <c r="B47" s="133"/>
      <c r="C47" s="133"/>
      <c r="D47" s="133"/>
      <c r="E47" s="133"/>
      <c r="F47" s="133"/>
      <c r="G47" s="133"/>
      <c r="H47" s="133"/>
      <c r="I47" s="133"/>
      <c r="J47" s="133">
        <v>144414.9</v>
      </c>
      <c r="K47" s="122">
        <v>239680.08</v>
      </c>
      <c r="L47" s="123">
        <f t="shared" si="4"/>
        <v>384094.98</v>
      </c>
      <c r="M47" s="124"/>
      <c r="N47" s="60">
        <v>141219.5890410959</v>
      </c>
      <c r="O47" s="60">
        <v>77499.79</v>
      </c>
      <c r="P47" s="124">
        <v>383388.74</v>
      </c>
      <c r="Q47" s="125">
        <f t="shared" si="9"/>
        <v>602108.119041096</v>
      </c>
      <c r="R47" s="126">
        <f t="shared" si="5"/>
        <v>986203.0990410959</v>
      </c>
      <c r="S47" s="127">
        <v>1239324.9</v>
      </c>
      <c r="T47" s="128">
        <f t="shared" si="6"/>
        <v>253121.80095890397</v>
      </c>
      <c r="U47" s="134">
        <v>1665565.49</v>
      </c>
      <c r="V47" s="130">
        <f t="shared" si="7"/>
        <v>679362.390958904</v>
      </c>
      <c r="W47" s="135">
        <f t="shared" si="11"/>
        <v>1412443.689041096</v>
      </c>
      <c r="X47" s="132">
        <v>2031</v>
      </c>
      <c r="Y47" s="94"/>
      <c r="Z47" s="94">
        <f t="shared" si="10"/>
        <v>253121.80095890397</v>
      </c>
    </row>
    <row r="48" spans="1:26" ht="11.25">
      <c r="A48" s="58">
        <v>2032</v>
      </c>
      <c r="B48" s="133"/>
      <c r="C48" s="133"/>
      <c r="D48" s="133"/>
      <c r="E48" s="133"/>
      <c r="F48" s="133"/>
      <c r="G48" s="133"/>
      <c r="H48" s="133"/>
      <c r="I48" s="133"/>
      <c r="J48" s="133">
        <v>36684.9</v>
      </c>
      <c r="K48" s="122">
        <v>220441.98</v>
      </c>
      <c r="L48" s="123">
        <f t="shared" si="4"/>
        <v>257126.88</v>
      </c>
      <c r="M48" s="124"/>
      <c r="N48" s="60">
        <v>126641.03825136613</v>
      </c>
      <c r="O48" s="60">
        <v>72205.26</v>
      </c>
      <c r="P48" s="124">
        <v>374069.96</v>
      </c>
      <c r="Q48" s="125">
        <f t="shared" si="9"/>
        <v>572916.2582513662</v>
      </c>
      <c r="R48" s="126">
        <f t="shared" si="5"/>
        <v>830043.1382513662</v>
      </c>
      <c r="S48" s="127">
        <v>1023594.9</v>
      </c>
      <c r="T48" s="128">
        <f t="shared" si="6"/>
        <v>193551.7617486338</v>
      </c>
      <c r="U48" s="134">
        <v>1478942.68</v>
      </c>
      <c r="V48" s="130">
        <f t="shared" si="7"/>
        <v>648899.5417486337</v>
      </c>
      <c r="W48" s="135">
        <f t="shared" si="11"/>
        <v>1285390.9182513661</v>
      </c>
      <c r="X48" s="132">
        <v>2032</v>
      </c>
      <c r="Y48" s="94"/>
      <c r="Z48" s="94">
        <f t="shared" si="10"/>
        <v>193551.7617486338</v>
      </c>
    </row>
    <row r="49" spans="1:26" ht="11.25">
      <c r="A49" s="58">
        <v>2033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22">
        <v>187589.07</v>
      </c>
      <c r="L49" s="123">
        <f t="shared" si="4"/>
        <v>187589.07</v>
      </c>
      <c r="M49" s="124"/>
      <c r="N49" s="60">
        <v>105419.1780821918</v>
      </c>
      <c r="O49" s="60">
        <v>66899.79</v>
      </c>
      <c r="P49" s="124">
        <v>344455.92</v>
      </c>
      <c r="Q49" s="125">
        <f t="shared" si="9"/>
        <v>516774.88808219176</v>
      </c>
      <c r="R49" s="126">
        <f t="shared" si="5"/>
        <v>704363.9580821918</v>
      </c>
      <c r="S49" s="127">
        <v>848910</v>
      </c>
      <c r="T49" s="128">
        <f t="shared" si="6"/>
        <v>144546.04191780824</v>
      </c>
      <c r="U49" s="134">
        <v>1316193.52</v>
      </c>
      <c r="V49" s="130">
        <f t="shared" si="7"/>
        <v>611829.5619178083</v>
      </c>
      <c r="W49" s="135">
        <f t="shared" si="11"/>
        <v>1171647.4780821917</v>
      </c>
      <c r="X49" s="132">
        <v>2033</v>
      </c>
      <c r="Y49" s="94"/>
      <c r="Z49" s="94">
        <f t="shared" si="10"/>
        <v>144546.04191780835</v>
      </c>
    </row>
    <row r="50" spans="1:26" ht="11.25">
      <c r="A50" s="58">
        <v>2034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22">
        <v>155371.68</v>
      </c>
      <c r="L50" s="123">
        <f t="shared" si="4"/>
        <v>155371.68</v>
      </c>
      <c r="M50" s="124"/>
      <c r="N50" s="60">
        <v>84219.1780821918</v>
      </c>
      <c r="O50" s="60">
        <v>61599.79</v>
      </c>
      <c r="P50" s="124">
        <v>301455.92</v>
      </c>
      <c r="Q50" s="125">
        <f t="shared" si="9"/>
        <v>447274.8880821918</v>
      </c>
      <c r="R50" s="126">
        <f t="shared" si="5"/>
        <v>602646.5680821917</v>
      </c>
      <c r="S50" s="127">
        <v>710910</v>
      </c>
      <c r="T50" s="128">
        <f t="shared" si="6"/>
        <v>108263.43191780825</v>
      </c>
      <c r="U50" s="134">
        <v>1177293.52</v>
      </c>
      <c r="V50" s="130">
        <f t="shared" si="7"/>
        <v>574646.9519178083</v>
      </c>
      <c r="W50" s="135">
        <f t="shared" si="11"/>
        <v>1069030.0880821918</v>
      </c>
      <c r="X50" s="132">
        <v>2034</v>
      </c>
      <c r="Y50" s="94"/>
      <c r="Z50" s="94">
        <f t="shared" si="10"/>
        <v>108263.43191780825</v>
      </c>
    </row>
    <row r="51" spans="1:26" ht="11.25">
      <c r="A51" s="58">
        <v>2035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22">
        <v>123154.29</v>
      </c>
      <c r="L51" s="123">
        <f t="shared" si="4"/>
        <v>123154.29</v>
      </c>
      <c r="M51" s="124"/>
      <c r="N51" s="60">
        <v>67019.5890410959</v>
      </c>
      <c r="O51" s="60">
        <v>56299.79</v>
      </c>
      <c r="P51" s="124">
        <v>258455.92</v>
      </c>
      <c r="Q51" s="125">
        <f t="shared" si="9"/>
        <v>381775.2990410959</v>
      </c>
      <c r="R51" s="126">
        <f t="shared" si="5"/>
        <v>504929.58904109587</v>
      </c>
      <c r="S51" s="127">
        <v>572910</v>
      </c>
      <c r="T51" s="128">
        <f t="shared" si="6"/>
        <v>67980.41095890413</v>
      </c>
      <c r="U51" s="134">
        <v>1042544.89</v>
      </c>
      <c r="V51" s="130">
        <f t="shared" si="7"/>
        <v>537615.3009589042</v>
      </c>
      <c r="W51" s="135">
        <f t="shared" si="11"/>
        <v>974564.4790410958</v>
      </c>
      <c r="X51" s="132">
        <v>2035</v>
      </c>
      <c r="Y51" s="94"/>
      <c r="Z51" s="94">
        <f t="shared" si="10"/>
        <v>67980.41095890419</v>
      </c>
    </row>
    <row r="52" spans="1:26" ht="11.25">
      <c r="A52" s="58">
        <v>2036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22">
        <v>91219.35</v>
      </c>
      <c r="L52" s="123">
        <f t="shared" si="4"/>
        <v>91219.35</v>
      </c>
      <c r="M52" s="124"/>
      <c r="N52" s="60">
        <v>56430.51912568306</v>
      </c>
      <c r="O52" s="60">
        <v>51005.26</v>
      </c>
      <c r="P52" s="124">
        <v>215455.92</v>
      </c>
      <c r="Q52" s="125">
        <f t="shared" si="9"/>
        <v>322891.69912568305</v>
      </c>
      <c r="R52" s="126">
        <f t="shared" si="5"/>
        <v>414111.049125683</v>
      </c>
      <c r="S52" s="127">
        <v>434910</v>
      </c>
      <c r="T52" s="128">
        <f t="shared" si="6"/>
        <v>20798.95087431697</v>
      </c>
      <c r="U52" s="134">
        <v>914914.01</v>
      </c>
      <c r="V52" s="130">
        <f t="shared" si="7"/>
        <v>500802.960874317</v>
      </c>
      <c r="W52" s="135">
        <f t="shared" si="11"/>
        <v>894115.059125683</v>
      </c>
      <c r="X52" s="132">
        <v>2036</v>
      </c>
      <c r="Y52" s="94"/>
      <c r="Z52" s="94">
        <f t="shared" si="10"/>
        <v>20798.95087431697</v>
      </c>
    </row>
    <row r="53" spans="1:26" ht="11.25">
      <c r="A53" s="58">
        <v>2037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22">
        <v>65360.06</v>
      </c>
      <c r="L53" s="123">
        <f t="shared" si="4"/>
        <v>65360.06</v>
      </c>
      <c r="M53" s="124"/>
      <c r="N53" s="60">
        <v>45819.58904109589</v>
      </c>
      <c r="O53" s="60">
        <v>45699.79</v>
      </c>
      <c r="P53" s="124">
        <v>172455.92</v>
      </c>
      <c r="Q53" s="125">
        <f t="shared" si="9"/>
        <v>263975.2990410959</v>
      </c>
      <c r="R53" s="126">
        <f t="shared" si="5"/>
        <v>329335.3590410959</v>
      </c>
      <c r="S53" s="127">
        <v>339510</v>
      </c>
      <c r="T53" s="128">
        <f t="shared" si="6"/>
        <v>10174.640958904114</v>
      </c>
      <c r="U53" s="134">
        <v>796927.07</v>
      </c>
      <c r="V53" s="130">
        <f t="shared" si="7"/>
        <v>467591.71095890406</v>
      </c>
      <c r="W53" s="135">
        <f t="shared" si="11"/>
        <v>786752.4290410958</v>
      </c>
      <c r="X53" s="132">
        <v>2037</v>
      </c>
      <c r="Y53" s="94"/>
      <c r="Z53" s="94">
        <f t="shared" si="10"/>
        <v>10174.640958904172</v>
      </c>
    </row>
    <row r="54" spans="1:26" ht="11.25">
      <c r="A54" s="58">
        <v>2038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22">
        <v>50738.32</v>
      </c>
      <c r="L54" s="123">
        <f t="shared" si="4"/>
        <v>50738.32</v>
      </c>
      <c r="M54" s="124"/>
      <c r="N54" s="60">
        <v>35219.58904109589</v>
      </c>
      <c r="O54" s="60">
        <v>38399.59</v>
      </c>
      <c r="P54" s="124">
        <v>129455.92</v>
      </c>
      <c r="Q54" s="125">
        <f t="shared" si="9"/>
        <v>203075.09904109588</v>
      </c>
      <c r="R54" s="126">
        <f t="shared" si="5"/>
        <v>253813.41904109588</v>
      </c>
      <c r="S54" s="127">
        <v>244110</v>
      </c>
      <c r="T54" s="128">
        <f t="shared" si="6"/>
        <v>-9703.419041095884</v>
      </c>
      <c r="U54" s="134">
        <v>690346.11</v>
      </c>
      <c r="V54" s="130">
        <f t="shared" si="7"/>
        <v>436532.6909589041</v>
      </c>
      <c r="W54" s="135">
        <f t="shared" si="11"/>
        <v>700049.5290410959</v>
      </c>
      <c r="X54" s="132">
        <v>2038</v>
      </c>
      <c r="Y54" s="94"/>
      <c r="Z54" s="94">
        <f t="shared" si="10"/>
        <v>-9703.419041095884</v>
      </c>
    </row>
    <row r="55" spans="1:26" ht="11.25">
      <c r="A55" s="58">
        <v>2039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22">
        <v>36116.58</v>
      </c>
      <c r="L55" s="123">
        <f t="shared" si="4"/>
        <v>36116.58</v>
      </c>
      <c r="M55" s="124"/>
      <c r="N55" s="60">
        <v>24619.589041095893</v>
      </c>
      <c r="O55" s="60">
        <v>27799.59</v>
      </c>
      <c r="P55" s="124">
        <v>86455.92</v>
      </c>
      <c r="Q55" s="125">
        <f t="shared" si="9"/>
        <v>138875.09904109588</v>
      </c>
      <c r="R55" s="126">
        <f t="shared" si="5"/>
        <v>174991.6790410959</v>
      </c>
      <c r="S55" s="127">
        <v>148710</v>
      </c>
      <c r="T55" s="128">
        <f t="shared" si="6"/>
        <v>-26281.679041095893</v>
      </c>
      <c r="U55" s="134">
        <v>574426.11</v>
      </c>
      <c r="V55" s="130">
        <f t="shared" si="7"/>
        <v>399434.4309589041</v>
      </c>
      <c r="W55" s="135">
        <f t="shared" si="11"/>
        <v>600707.7890410959</v>
      </c>
      <c r="X55" s="132">
        <v>2039</v>
      </c>
      <c r="Y55" s="94"/>
      <c r="Z55" s="94">
        <f t="shared" si="10"/>
        <v>-26281.679041095893</v>
      </c>
    </row>
    <row r="56" spans="1:26" ht="11.25">
      <c r="A56" s="58">
        <v>2040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22">
        <v>21568.85</v>
      </c>
      <c r="L56" s="123">
        <f t="shared" si="4"/>
        <v>21568.85</v>
      </c>
      <c r="M56" s="124"/>
      <c r="N56" s="60">
        <v>14030.51912568306</v>
      </c>
      <c r="O56" s="60">
        <v>17210.52</v>
      </c>
      <c r="P56" s="124">
        <v>47512.94</v>
      </c>
      <c r="Q56" s="125">
        <f t="shared" si="9"/>
        <v>78753.97912568306</v>
      </c>
      <c r="R56" s="126">
        <f t="shared" si="5"/>
        <v>100322.82912568306</v>
      </c>
      <c r="S56" s="127">
        <v>68310</v>
      </c>
      <c r="T56" s="128">
        <f t="shared" si="6"/>
        <v>-32012.829125683056</v>
      </c>
      <c r="U56" s="134">
        <v>462616.74</v>
      </c>
      <c r="V56" s="130">
        <f t="shared" si="7"/>
        <v>362293.91087431693</v>
      </c>
      <c r="W56" s="135">
        <f t="shared" si="11"/>
        <v>494629.56912568305</v>
      </c>
      <c r="X56" s="132">
        <v>2040</v>
      </c>
      <c r="Y56" s="94"/>
      <c r="Z56" s="94">
        <f t="shared" si="10"/>
        <v>-32012.829125683056</v>
      </c>
    </row>
    <row r="57" spans="1:26" ht="11.25">
      <c r="A57" s="58"/>
      <c r="B57" s="133"/>
      <c r="C57" s="133"/>
      <c r="D57" s="133"/>
      <c r="E57" s="133"/>
      <c r="F57" s="133"/>
      <c r="G57" s="133"/>
      <c r="H57" s="133"/>
      <c r="I57" s="133"/>
      <c r="J57" s="133"/>
      <c r="K57" s="122">
        <v>7714.86</v>
      </c>
      <c r="L57" s="123">
        <f t="shared" si="4"/>
        <v>7714.86</v>
      </c>
      <c r="M57" s="124"/>
      <c r="N57" s="137">
        <v>3553.178082191781</v>
      </c>
      <c r="O57" s="60">
        <v>6599.59</v>
      </c>
      <c r="P57" s="124">
        <v>17080.48</v>
      </c>
      <c r="Q57" s="125">
        <f t="shared" si="9"/>
        <v>27233.24808219178</v>
      </c>
      <c r="R57" s="126">
        <f t="shared" si="5"/>
        <v>34948.10808219178</v>
      </c>
      <c r="S57" s="138">
        <v>56400</v>
      </c>
      <c r="T57" s="139">
        <f t="shared" si="6"/>
        <v>21451.89191780822</v>
      </c>
      <c r="U57" s="140">
        <v>360444.76</v>
      </c>
      <c r="V57" s="141">
        <f t="shared" si="7"/>
        <v>325496.6519178082</v>
      </c>
      <c r="W57" s="142">
        <f t="shared" si="11"/>
        <v>338992.8680821918</v>
      </c>
      <c r="X57" s="143">
        <v>2041</v>
      </c>
      <c r="Y57" s="94"/>
      <c r="Z57" s="94">
        <f t="shared" si="10"/>
        <v>21451.891917808214</v>
      </c>
    </row>
    <row r="58" spans="1:26" ht="11.25">
      <c r="A58" s="144" t="str">
        <f>A32</f>
        <v>Suma</v>
      </c>
      <c r="B58" s="125">
        <f aca="true" t="shared" si="12" ref="B58:H58">SUM(B36:B50)</f>
        <v>20294.43</v>
      </c>
      <c r="C58" s="125">
        <f t="shared" si="12"/>
        <v>116501.9</v>
      </c>
      <c r="D58" s="125">
        <f t="shared" si="12"/>
        <v>150084.59</v>
      </c>
      <c r="E58" s="125">
        <f t="shared" si="12"/>
        <v>207862.38</v>
      </c>
      <c r="F58" s="125">
        <f t="shared" si="12"/>
        <v>221992.06999999995</v>
      </c>
      <c r="G58" s="125">
        <f t="shared" si="12"/>
        <v>665775</v>
      </c>
      <c r="H58" s="125">
        <f t="shared" si="12"/>
        <v>1074625.88</v>
      </c>
      <c r="I58" s="125">
        <f>SUM(I36:I56)</f>
        <v>1978715.3</v>
      </c>
      <c r="J58" s="125">
        <f>SUM(J36:J55)</f>
        <v>5153978.9</v>
      </c>
      <c r="K58" s="125">
        <f>SUM(K36:K57)</f>
        <v>3969324.68</v>
      </c>
      <c r="L58" s="145">
        <f>SUM(L36:L57)</f>
        <v>13559155.129999999</v>
      </c>
      <c r="M58" s="67">
        <f>SUM(M36:M57)</f>
        <v>0</v>
      </c>
      <c r="N58" s="88">
        <v>2252082.7127779024</v>
      </c>
      <c r="O58" s="146">
        <f>SUM(O36:O57)</f>
        <v>1315804.8300000005</v>
      </c>
      <c r="P58" s="67">
        <f>SUM(P36:P57)</f>
        <v>6023632.37</v>
      </c>
      <c r="Q58" s="147">
        <f>SUM(Q36:Q57)</f>
        <v>9591519.9127779</v>
      </c>
      <c r="R58" s="126">
        <f>SUM(R36:R57)</f>
        <v>23150675.0427779</v>
      </c>
      <c r="S58" s="148">
        <f>SUM(S36:S57)</f>
        <v>26618864.45</v>
      </c>
      <c r="T58" s="149">
        <f t="shared" si="6"/>
        <v>3468189.4072220996</v>
      </c>
      <c r="U58" s="150">
        <f>SUM(U36:U57)</f>
        <v>36087874.349999994</v>
      </c>
      <c r="V58" s="151">
        <f>SUM(V36:V57)</f>
        <v>12937199.307222096</v>
      </c>
      <c r="W58" s="152">
        <f>SUM(W36:W57)</f>
        <v>35030245.527846396</v>
      </c>
      <c r="X58" s="153">
        <f>V32</f>
        <v>0</v>
      </c>
      <c r="Z58" s="94">
        <f>SUM(Z37:Z57)</f>
        <v>1057628.8221536046</v>
      </c>
    </row>
    <row r="59" spans="1:24" ht="11.25">
      <c r="A59" s="11"/>
      <c r="B59" s="133"/>
      <c r="C59" s="133"/>
      <c r="D59" s="133"/>
      <c r="E59" s="133"/>
      <c r="F59" s="133"/>
      <c r="G59" s="133"/>
      <c r="H59" s="154"/>
      <c r="I59" s="154"/>
      <c r="J59" s="154"/>
      <c r="K59" s="154"/>
      <c r="L59" s="154"/>
      <c r="M59" s="133"/>
      <c r="N59" s="155"/>
      <c r="O59" s="155"/>
      <c r="P59" s="133"/>
      <c r="Q59" s="133"/>
      <c r="R59" s="133"/>
      <c r="S59" s="155"/>
      <c r="T59" s="155"/>
      <c r="U59" s="155"/>
      <c r="V59" s="155"/>
      <c r="W59" s="155"/>
      <c r="X59" s="156"/>
    </row>
    <row r="61" ht="11.25">
      <c r="W61" s="157"/>
    </row>
    <row r="62" spans="9:17" ht="11.25">
      <c r="I62" s="19" t="s">
        <v>62</v>
      </c>
      <c r="J62" s="158">
        <v>4.2693</v>
      </c>
      <c r="K62" s="159"/>
      <c r="M62" s="160">
        <f>M58/J62</f>
        <v>0</v>
      </c>
      <c r="N62" s="161"/>
      <c r="O62" s="161"/>
      <c r="P62" s="160" t="e">
        <f>P58/M62</f>
        <v>#DIV/0!</v>
      </c>
      <c r="Q62" s="162">
        <f>Q58/J62</f>
        <v>2246625.890140749</v>
      </c>
    </row>
    <row r="63" spans="23:24" ht="11.25">
      <c r="W63" s="163"/>
      <c r="X63" s="1" t="s">
        <v>63</v>
      </c>
    </row>
    <row r="68" ht="11.25">
      <c r="K68" s="17" t="s">
        <v>64</v>
      </c>
    </row>
    <row r="69" spans="6:11" ht="11.25">
      <c r="F69" s="184" t="s">
        <v>65</v>
      </c>
      <c r="G69" s="185"/>
      <c r="H69" s="185"/>
      <c r="I69" s="185"/>
      <c r="J69" s="185"/>
      <c r="K69" s="186"/>
    </row>
    <row r="70" spans="6:11" ht="11.25">
      <c r="F70" s="164"/>
      <c r="G70" s="165">
        <v>1</v>
      </c>
      <c r="H70" s="165">
        <v>2</v>
      </c>
      <c r="I70" s="165">
        <v>3</v>
      </c>
      <c r="J70" s="165">
        <v>4</v>
      </c>
      <c r="K70" s="166">
        <v>5</v>
      </c>
    </row>
    <row r="71" spans="6:29" ht="56.25">
      <c r="F71" s="167" t="s">
        <v>13</v>
      </c>
      <c r="G71" s="112" t="s">
        <v>66</v>
      </c>
      <c r="H71" s="112" t="s">
        <v>67</v>
      </c>
      <c r="I71" s="168" t="s">
        <v>68</v>
      </c>
      <c r="J71" s="168" t="s">
        <v>69</v>
      </c>
      <c r="K71" s="169" t="s">
        <v>70</v>
      </c>
      <c r="N71" s="187" t="s">
        <v>73</v>
      </c>
      <c r="O71" s="188"/>
      <c r="Q71" s="189"/>
      <c r="R71" s="853">
        <v>0.03</v>
      </c>
      <c r="S71" s="190">
        <v>0.85</v>
      </c>
      <c r="T71" s="854">
        <v>0.03</v>
      </c>
      <c r="U71" s="190">
        <v>0.85</v>
      </c>
      <c r="V71"/>
      <c r="W71"/>
      <c r="X71"/>
      <c r="Y71"/>
      <c r="Z71"/>
      <c r="AA71"/>
      <c r="AB71"/>
      <c r="AC71"/>
    </row>
    <row r="72" spans="6:29" ht="12.75">
      <c r="F72" s="170">
        <v>2021</v>
      </c>
      <c r="G72" s="171">
        <f aca="true" t="shared" si="13" ref="G72:G92">SUM(B11:J11)</f>
        <v>5081000</v>
      </c>
      <c r="H72" s="172">
        <f aca="true" t="shared" si="14" ref="H72:H92">SUM(K11)</f>
        <v>21000</v>
      </c>
      <c r="I72" s="172">
        <f aca="true" t="shared" si="15" ref="I72:I92">SUM(M11+N11)</f>
        <v>0</v>
      </c>
      <c r="J72" s="173">
        <f aca="true" t="shared" si="16" ref="J72:J92">O11</f>
        <v>0</v>
      </c>
      <c r="K72" s="174">
        <f aca="true" t="shared" si="17" ref="K72:K92">SUM(G72:J72)</f>
        <v>5102000</v>
      </c>
      <c r="N72" s="187" t="s">
        <v>74</v>
      </c>
      <c r="O72" s="188"/>
      <c r="Q72" s="189"/>
      <c r="R72" s="853"/>
      <c r="S72" s="191">
        <v>0.21</v>
      </c>
      <c r="T72" s="854"/>
      <c r="U72" s="192">
        <v>0.21</v>
      </c>
      <c r="V72"/>
      <c r="W72"/>
      <c r="X72"/>
      <c r="Y72"/>
      <c r="Z72"/>
      <c r="AA72"/>
      <c r="AB72"/>
      <c r="AC72"/>
    </row>
    <row r="73" spans="6:29" ht="67.5">
      <c r="F73" s="170">
        <v>2022</v>
      </c>
      <c r="G73" s="171">
        <f t="shared" si="13"/>
        <v>2000000</v>
      </c>
      <c r="H73" s="172">
        <f t="shared" si="14"/>
        <v>15000</v>
      </c>
      <c r="I73" s="172">
        <f t="shared" si="15"/>
        <v>50000</v>
      </c>
      <c r="J73" s="173">
        <f t="shared" si="16"/>
        <v>0</v>
      </c>
      <c r="K73" s="174">
        <f t="shared" si="17"/>
        <v>2065000</v>
      </c>
      <c r="N73" s="105" t="s">
        <v>48</v>
      </c>
      <c r="O73" s="110" t="s">
        <v>53</v>
      </c>
      <c r="Q73" s="111" t="s">
        <v>25</v>
      </c>
      <c r="R73" s="193" t="s">
        <v>54</v>
      </c>
      <c r="S73" s="193" t="s">
        <v>75</v>
      </c>
      <c r="T73" s="193" t="s">
        <v>27</v>
      </c>
      <c r="U73" s="193" t="s">
        <v>76</v>
      </c>
      <c r="V73" s="113" t="s">
        <v>77</v>
      </c>
      <c r="W73" s="113" t="s">
        <v>78</v>
      </c>
      <c r="X73" s="194" t="s">
        <v>79</v>
      </c>
      <c r="Y73" s="194" t="s">
        <v>80</v>
      </c>
      <c r="Z73" s="195" t="s">
        <v>81</v>
      </c>
      <c r="AA73" s="194" t="s">
        <v>82</v>
      </c>
      <c r="AB73" s="196" t="s">
        <v>83</v>
      </c>
      <c r="AC73"/>
    </row>
    <row r="74" spans="6:29" ht="12.75">
      <c r="F74" s="170">
        <v>2023</v>
      </c>
      <c r="G74" s="171">
        <f t="shared" si="13"/>
        <v>4606759</v>
      </c>
      <c r="H74" s="172">
        <f t="shared" si="14"/>
        <v>23478.28</v>
      </c>
      <c r="I74" s="172">
        <f t="shared" si="15"/>
        <v>100000</v>
      </c>
      <c r="J74" s="173">
        <f t="shared" si="16"/>
        <v>200000</v>
      </c>
      <c r="K74" s="174">
        <f t="shared" si="17"/>
        <v>4930237.28</v>
      </c>
      <c r="N74" s="197"/>
      <c r="O74" s="198"/>
      <c r="Q74" s="198"/>
      <c r="R74" s="199"/>
      <c r="S74" s="199"/>
      <c r="T74" s="199"/>
      <c r="U74" s="199"/>
      <c r="V74" s="198"/>
      <c r="W74" s="198"/>
      <c r="X74" s="198"/>
      <c r="Y74" s="198"/>
      <c r="Z74" s="198"/>
      <c r="AA74" s="198"/>
      <c r="AB74" s="198"/>
      <c r="AC74" s="200"/>
    </row>
    <row r="75" spans="6:29" ht="11.25">
      <c r="F75" s="170">
        <v>2024</v>
      </c>
      <c r="G75" s="171">
        <f t="shared" si="13"/>
        <v>6127000</v>
      </c>
      <c r="H75" s="172">
        <f t="shared" si="14"/>
        <v>65217.4</v>
      </c>
      <c r="I75" s="172">
        <f t="shared" si="15"/>
        <v>150000</v>
      </c>
      <c r="J75" s="173">
        <f t="shared" si="16"/>
        <v>200000</v>
      </c>
      <c r="K75" s="174">
        <f t="shared" si="17"/>
        <v>6542217.4</v>
      </c>
      <c r="N75" s="58">
        <v>2021</v>
      </c>
      <c r="O75" s="123">
        <v>1488268.94</v>
      </c>
      <c r="Q75" s="124">
        <v>226076.56</v>
      </c>
      <c r="R75" s="60"/>
      <c r="S75" s="60">
        <v>15214.630136986301</v>
      </c>
      <c r="T75" s="60"/>
      <c r="U75" s="60"/>
      <c r="V75" s="201">
        <v>226076.56</v>
      </c>
      <c r="W75" s="125">
        <v>241291.1901369863</v>
      </c>
      <c r="X75" s="202">
        <f aca="true" t="shared" si="18" ref="X75:X96">O75+V75</f>
        <v>1714345.5</v>
      </c>
      <c r="Y75" s="202">
        <f aca="true" t="shared" si="19" ref="Y75:Y96">O75+W75</f>
        <v>1729560.1301369863</v>
      </c>
      <c r="Z75" s="203">
        <f aca="true" t="shared" si="20" ref="Z75:Z96">X75-Y75</f>
        <v>-15214.630136986263</v>
      </c>
      <c r="AA75" s="204">
        <v>2050000</v>
      </c>
      <c r="AB75" s="205">
        <f aca="true" t="shared" si="21" ref="AB75:AB96">AA75-Y75</f>
        <v>320439.86986301374</v>
      </c>
      <c r="AC75" s="58">
        <v>2021</v>
      </c>
    </row>
    <row r="76" spans="6:29" ht="11.25">
      <c r="F76" s="170">
        <v>2025</v>
      </c>
      <c r="G76" s="171">
        <f t="shared" si="13"/>
        <v>4627000</v>
      </c>
      <c r="H76" s="172">
        <f t="shared" si="14"/>
        <v>65217.4</v>
      </c>
      <c r="I76" s="172">
        <f t="shared" si="15"/>
        <v>150000</v>
      </c>
      <c r="J76" s="173">
        <f t="shared" si="16"/>
        <v>200000</v>
      </c>
      <c r="K76" s="174">
        <f t="shared" si="17"/>
        <v>5042217.4</v>
      </c>
      <c r="N76" s="58">
        <v>2022</v>
      </c>
      <c r="O76" s="123">
        <v>1420881.5399999998</v>
      </c>
      <c r="Q76" s="124">
        <v>385572.89</v>
      </c>
      <c r="R76" s="60">
        <v>510410.96</v>
      </c>
      <c r="S76" s="60">
        <v>178737.78</v>
      </c>
      <c r="T76" s="60"/>
      <c r="U76" s="60">
        <v>17715.07</v>
      </c>
      <c r="V76" s="201">
        <f aca="true" t="shared" si="22" ref="V76:V96">Q76+R76+T76</f>
        <v>895983.8500000001</v>
      </c>
      <c r="W76" s="125">
        <f aca="true" t="shared" si="23" ref="W76:W95">Q76+S76+U76</f>
        <v>582025.74</v>
      </c>
      <c r="X76" s="202">
        <f t="shared" si="18"/>
        <v>2316865.3899999997</v>
      </c>
      <c r="Y76" s="202">
        <f t="shared" si="19"/>
        <v>2002907.2799999998</v>
      </c>
      <c r="Z76" s="203">
        <f t="shared" si="20"/>
        <v>313958.10999999987</v>
      </c>
      <c r="AA76" s="204">
        <v>2601206.25</v>
      </c>
      <c r="AB76" s="205">
        <f t="shared" si="21"/>
        <v>598298.9700000002</v>
      </c>
      <c r="AC76" s="58">
        <v>2022</v>
      </c>
    </row>
    <row r="77" spans="6:29" ht="11.25">
      <c r="F77" s="170">
        <v>2026</v>
      </c>
      <c r="G77" s="171">
        <f t="shared" si="13"/>
        <v>4627000</v>
      </c>
      <c r="H77" s="172">
        <f t="shared" si="14"/>
        <v>65217.4</v>
      </c>
      <c r="I77" s="172">
        <f t="shared" si="15"/>
        <v>200000</v>
      </c>
      <c r="J77" s="173">
        <f t="shared" si="16"/>
        <v>200000</v>
      </c>
      <c r="K77" s="174">
        <f t="shared" si="17"/>
        <v>5092217.4</v>
      </c>
      <c r="N77" s="58">
        <v>2023</v>
      </c>
      <c r="O77" s="123">
        <v>1386287.7499999998</v>
      </c>
      <c r="Q77" s="124">
        <v>385551.39</v>
      </c>
      <c r="R77" s="60">
        <v>516367.81</v>
      </c>
      <c r="S77" s="60">
        <v>177805.56</v>
      </c>
      <c r="T77" s="60">
        <v>297735.62</v>
      </c>
      <c r="U77" s="60">
        <v>104391.12</v>
      </c>
      <c r="V77" s="201">
        <f t="shared" si="22"/>
        <v>1199654.8199999998</v>
      </c>
      <c r="W77" s="125">
        <f t="shared" si="23"/>
        <v>667748.07</v>
      </c>
      <c r="X77" s="202">
        <f t="shared" si="18"/>
        <v>2585942.5699999994</v>
      </c>
      <c r="Y77" s="202">
        <f t="shared" si="19"/>
        <v>2054035.8199999998</v>
      </c>
      <c r="Z77" s="203">
        <f t="shared" si="20"/>
        <v>531906.7499999995</v>
      </c>
      <c r="AA77" s="204">
        <v>2870099</v>
      </c>
      <c r="AB77" s="205">
        <f t="shared" si="21"/>
        <v>816063.1800000002</v>
      </c>
      <c r="AC77" s="58">
        <v>2023</v>
      </c>
    </row>
    <row r="78" spans="6:29" ht="11.25">
      <c r="F78" s="170">
        <v>2027</v>
      </c>
      <c r="G78" s="171">
        <f t="shared" si="13"/>
        <v>6638591</v>
      </c>
      <c r="H78" s="172">
        <f t="shared" si="14"/>
        <v>293478.28</v>
      </c>
      <c r="I78" s="172">
        <f t="shared" si="15"/>
        <v>200000</v>
      </c>
      <c r="J78" s="173">
        <f t="shared" si="16"/>
        <v>200000</v>
      </c>
      <c r="K78" s="174">
        <f t="shared" si="17"/>
        <v>7332069.28</v>
      </c>
      <c r="N78" s="58">
        <v>2024</v>
      </c>
      <c r="O78" s="123">
        <v>1259240.19</v>
      </c>
      <c r="Q78" s="124">
        <v>385529.89</v>
      </c>
      <c r="R78" s="60">
        <v>512801.71</v>
      </c>
      <c r="S78" s="60">
        <v>176346.64</v>
      </c>
      <c r="T78" s="60">
        <v>291735.62</v>
      </c>
      <c r="U78" s="60">
        <v>102275.52</v>
      </c>
      <c r="V78" s="201">
        <f t="shared" si="22"/>
        <v>1190067.2200000002</v>
      </c>
      <c r="W78" s="125">
        <f t="shared" si="23"/>
        <v>664152.05</v>
      </c>
      <c r="X78" s="202">
        <f t="shared" si="18"/>
        <v>2449307.41</v>
      </c>
      <c r="Y78" s="202">
        <f t="shared" si="19"/>
        <v>1923392.24</v>
      </c>
      <c r="Z78" s="203">
        <f t="shared" si="20"/>
        <v>525915.1700000002</v>
      </c>
      <c r="AA78" s="204">
        <v>2710782.27</v>
      </c>
      <c r="AB78" s="205">
        <f t="shared" si="21"/>
        <v>787390.03</v>
      </c>
      <c r="AC78" s="58">
        <v>2024</v>
      </c>
    </row>
    <row r="79" spans="6:29" ht="11.25">
      <c r="F79" s="170">
        <v>2028</v>
      </c>
      <c r="G79" s="171">
        <f t="shared" si="13"/>
        <v>7100000</v>
      </c>
      <c r="H79" s="172">
        <f t="shared" si="14"/>
        <v>293478.28</v>
      </c>
      <c r="I79" s="172">
        <f t="shared" si="15"/>
        <v>350000</v>
      </c>
      <c r="J79" s="173">
        <f t="shared" si="16"/>
        <v>500000</v>
      </c>
      <c r="K79" s="174">
        <f t="shared" si="17"/>
        <v>8243478.28</v>
      </c>
      <c r="N79" s="58">
        <v>2025</v>
      </c>
      <c r="O79" s="123">
        <v>1089287.45</v>
      </c>
      <c r="Q79" s="124">
        <v>385500.27</v>
      </c>
      <c r="R79" s="60">
        <v>508301.71</v>
      </c>
      <c r="S79" s="60">
        <v>174753.34</v>
      </c>
      <c r="T79" s="60">
        <v>285735.62</v>
      </c>
      <c r="U79" s="60">
        <v>100151.12</v>
      </c>
      <c r="V79" s="201">
        <f t="shared" si="22"/>
        <v>1179537.6</v>
      </c>
      <c r="W79" s="125">
        <f t="shared" si="23"/>
        <v>660404.73</v>
      </c>
      <c r="X79" s="202">
        <f t="shared" si="18"/>
        <v>2268825.05</v>
      </c>
      <c r="Y79" s="202">
        <f t="shared" si="19"/>
        <v>1749692.18</v>
      </c>
      <c r="Z79" s="203">
        <f t="shared" si="20"/>
        <v>519132.8699999999</v>
      </c>
      <c r="AA79" s="204">
        <v>2530694.6</v>
      </c>
      <c r="AB79" s="205">
        <f t="shared" si="21"/>
        <v>781002.4200000002</v>
      </c>
      <c r="AC79" s="58">
        <v>2025</v>
      </c>
    </row>
    <row r="80" spans="6:29" ht="11.25">
      <c r="F80" s="170">
        <v>2029</v>
      </c>
      <c r="G80" s="171">
        <f t="shared" si="13"/>
        <v>6475000</v>
      </c>
      <c r="H80" s="172">
        <f t="shared" si="14"/>
        <v>652173.92</v>
      </c>
      <c r="I80" s="172">
        <f t="shared" si="15"/>
        <v>1000000</v>
      </c>
      <c r="J80" s="173">
        <f t="shared" si="16"/>
        <v>500000</v>
      </c>
      <c r="K80" s="174">
        <f t="shared" si="17"/>
        <v>8627173.92</v>
      </c>
      <c r="N80" s="58">
        <v>2026</v>
      </c>
      <c r="O80" s="123">
        <v>996762.82</v>
      </c>
      <c r="Q80" s="124">
        <v>385441.04</v>
      </c>
      <c r="R80" s="60">
        <v>503235.62</v>
      </c>
      <c r="S80" s="60">
        <v>172761.12</v>
      </c>
      <c r="T80" s="60">
        <v>279735.62</v>
      </c>
      <c r="U80" s="60">
        <v>98031.12</v>
      </c>
      <c r="V80" s="201">
        <f t="shared" si="22"/>
        <v>1168412.2799999998</v>
      </c>
      <c r="W80" s="125">
        <f t="shared" si="23"/>
        <v>656233.2799999999</v>
      </c>
      <c r="X80" s="202">
        <f t="shared" si="18"/>
        <v>2165175.0999999996</v>
      </c>
      <c r="Y80" s="202">
        <f t="shared" si="19"/>
        <v>1652996.0999999999</v>
      </c>
      <c r="Z80" s="203">
        <f t="shared" si="20"/>
        <v>512178.99999999977</v>
      </c>
      <c r="AA80" s="204">
        <v>2427333.78</v>
      </c>
      <c r="AB80" s="205">
        <f t="shared" si="21"/>
        <v>774337.6799999999</v>
      </c>
      <c r="AC80" s="58">
        <v>2026</v>
      </c>
    </row>
    <row r="81" spans="6:29" ht="11.25">
      <c r="F81" s="170">
        <v>2030</v>
      </c>
      <c r="G81" s="171">
        <f t="shared" si="13"/>
        <v>6698000</v>
      </c>
      <c r="H81" s="172">
        <f t="shared" si="14"/>
        <v>652173.92</v>
      </c>
      <c r="I81" s="172">
        <f t="shared" si="15"/>
        <v>1000000</v>
      </c>
      <c r="J81" s="173">
        <f t="shared" si="16"/>
        <v>500000</v>
      </c>
      <c r="K81" s="174">
        <f t="shared" si="17"/>
        <v>8850173.92</v>
      </c>
      <c r="N81" s="58">
        <v>2027</v>
      </c>
      <c r="O81" s="123">
        <v>899988.93</v>
      </c>
      <c r="Q81" s="124">
        <v>385346.93</v>
      </c>
      <c r="R81" s="60">
        <v>497235.62</v>
      </c>
      <c r="S81" s="60">
        <v>170641.12</v>
      </c>
      <c r="T81" s="60">
        <v>273735.62</v>
      </c>
      <c r="U81" s="60">
        <v>95911.12</v>
      </c>
      <c r="V81" s="201">
        <f t="shared" si="22"/>
        <v>1156318.17</v>
      </c>
      <c r="W81" s="125">
        <f t="shared" si="23"/>
        <v>651899.17</v>
      </c>
      <c r="X81" s="202">
        <f t="shared" si="18"/>
        <v>2056307.1</v>
      </c>
      <c r="Y81" s="202">
        <f t="shared" si="19"/>
        <v>1551888.1</v>
      </c>
      <c r="Z81" s="203">
        <f t="shared" si="20"/>
        <v>504419</v>
      </c>
      <c r="AA81" s="204">
        <v>2318240.51</v>
      </c>
      <c r="AB81" s="205">
        <f t="shared" si="21"/>
        <v>766352.4099999997</v>
      </c>
      <c r="AC81" s="58">
        <v>2027</v>
      </c>
    </row>
    <row r="82" spans="6:29" ht="11.25">
      <c r="F82" s="170">
        <v>2031</v>
      </c>
      <c r="G82" s="171">
        <f t="shared" si="13"/>
        <v>5700000</v>
      </c>
      <c r="H82" s="172">
        <f t="shared" si="14"/>
        <v>652173.92</v>
      </c>
      <c r="I82" s="172">
        <f t="shared" si="15"/>
        <v>1000000</v>
      </c>
      <c r="J82" s="173">
        <f t="shared" si="16"/>
        <v>500000</v>
      </c>
      <c r="K82" s="174">
        <f t="shared" si="17"/>
        <v>7852173.92</v>
      </c>
      <c r="N82" s="58">
        <v>2028</v>
      </c>
      <c r="O82" s="123">
        <v>768638.06</v>
      </c>
      <c r="Q82" s="124">
        <v>385166.4</v>
      </c>
      <c r="R82" s="60">
        <v>489537.33</v>
      </c>
      <c r="S82" s="60">
        <v>167780.58</v>
      </c>
      <c r="T82" s="60">
        <v>264339.04</v>
      </c>
      <c r="U82" s="60">
        <v>92975.07</v>
      </c>
      <c r="V82" s="201">
        <f t="shared" si="22"/>
        <v>1139042.77</v>
      </c>
      <c r="W82" s="125">
        <f t="shared" si="23"/>
        <v>645922.05</v>
      </c>
      <c r="X82" s="202">
        <f t="shared" si="18"/>
        <v>1907680.83</v>
      </c>
      <c r="Y82" s="202">
        <f t="shared" si="19"/>
        <v>1414560.11</v>
      </c>
      <c r="Z82" s="203">
        <f t="shared" si="20"/>
        <v>493120.72</v>
      </c>
      <c r="AA82" s="204">
        <v>2168434.2</v>
      </c>
      <c r="AB82" s="205">
        <f t="shared" si="21"/>
        <v>753874.0900000001</v>
      </c>
      <c r="AC82" s="58">
        <v>2028</v>
      </c>
    </row>
    <row r="83" spans="6:29" ht="11.25">
      <c r="F83" s="170">
        <v>2032</v>
      </c>
      <c r="G83" s="171">
        <f t="shared" si="13"/>
        <v>1941000</v>
      </c>
      <c r="H83" s="172">
        <f t="shared" si="14"/>
        <v>1695652.16</v>
      </c>
      <c r="I83" s="172">
        <f t="shared" si="15"/>
        <v>2000000</v>
      </c>
      <c r="J83" s="173">
        <f t="shared" si="16"/>
        <v>500000</v>
      </c>
      <c r="K83" s="174">
        <f t="shared" si="17"/>
        <v>6136652.16</v>
      </c>
      <c r="N83" s="58">
        <v>2029</v>
      </c>
      <c r="O83" s="123">
        <v>663347.28</v>
      </c>
      <c r="Q83" s="124">
        <v>384816.72</v>
      </c>
      <c r="R83" s="60">
        <v>471678.08</v>
      </c>
      <c r="S83" s="60">
        <v>162376.03</v>
      </c>
      <c r="T83" s="60">
        <v>249339.04</v>
      </c>
      <c r="U83" s="60">
        <v>87413.7</v>
      </c>
      <c r="V83" s="201">
        <f t="shared" si="22"/>
        <v>1105833.84</v>
      </c>
      <c r="W83" s="125">
        <f t="shared" si="23"/>
        <v>634606.45</v>
      </c>
      <c r="X83" s="202">
        <f t="shared" si="18"/>
        <v>1769181.12</v>
      </c>
      <c r="Y83" s="202">
        <f t="shared" si="19"/>
        <v>1297953.73</v>
      </c>
      <c r="Z83" s="203">
        <f t="shared" si="20"/>
        <v>471227.39000000013</v>
      </c>
      <c r="AA83" s="204">
        <v>2030463.17</v>
      </c>
      <c r="AB83" s="205">
        <f t="shared" si="21"/>
        <v>732509.44</v>
      </c>
      <c r="AC83" s="58">
        <v>2029</v>
      </c>
    </row>
    <row r="84" spans="6:29" ht="11.25">
      <c r="F84" s="170">
        <v>2033</v>
      </c>
      <c r="G84" s="171">
        <f t="shared" si="13"/>
        <v>0</v>
      </c>
      <c r="H84" s="172">
        <f t="shared" si="14"/>
        <v>1695652.16</v>
      </c>
      <c r="I84" s="172">
        <f t="shared" si="15"/>
        <v>2000000</v>
      </c>
      <c r="J84" s="173">
        <f t="shared" si="16"/>
        <v>500000</v>
      </c>
      <c r="K84" s="174">
        <f t="shared" si="17"/>
        <v>4195652.16</v>
      </c>
      <c r="N84" s="58">
        <v>2030</v>
      </c>
      <c r="O84" s="123">
        <v>525828.48</v>
      </c>
      <c r="Q84" s="124">
        <v>384386.72</v>
      </c>
      <c r="R84" s="60">
        <v>441678.08</v>
      </c>
      <c r="S84" s="60">
        <v>151776.03</v>
      </c>
      <c r="T84" s="60">
        <v>234339.04</v>
      </c>
      <c r="U84" s="60">
        <v>82113.7</v>
      </c>
      <c r="V84" s="201">
        <f t="shared" si="22"/>
        <v>1060403.84</v>
      </c>
      <c r="W84" s="125">
        <f t="shared" si="23"/>
        <v>618276.45</v>
      </c>
      <c r="X84" s="202">
        <f t="shared" si="18"/>
        <v>1586232.32</v>
      </c>
      <c r="Y84" s="202">
        <f t="shared" si="19"/>
        <v>1144104.93</v>
      </c>
      <c r="Z84" s="203">
        <f t="shared" si="20"/>
        <v>442127.39000000013</v>
      </c>
      <c r="AA84" s="204">
        <v>1850405.67</v>
      </c>
      <c r="AB84" s="205">
        <f t="shared" si="21"/>
        <v>706300.74</v>
      </c>
      <c r="AC84" s="58">
        <v>2030</v>
      </c>
    </row>
    <row r="85" spans="6:29" ht="11.25">
      <c r="F85" s="170">
        <v>2034</v>
      </c>
      <c r="G85" s="171">
        <f t="shared" si="13"/>
        <v>0</v>
      </c>
      <c r="H85" s="172">
        <f t="shared" si="14"/>
        <v>1695652.16</v>
      </c>
      <c r="I85" s="172">
        <f t="shared" si="15"/>
        <v>2000000</v>
      </c>
      <c r="J85" s="173">
        <f t="shared" si="16"/>
        <v>500000</v>
      </c>
      <c r="K85" s="174">
        <f t="shared" si="17"/>
        <v>4195652.16</v>
      </c>
      <c r="N85" s="58">
        <v>2031</v>
      </c>
      <c r="O85" s="123">
        <v>384094.98</v>
      </c>
      <c r="Q85" s="124">
        <v>383388.74</v>
      </c>
      <c r="R85" s="60">
        <v>411678.08</v>
      </c>
      <c r="S85" s="60">
        <v>141176.03</v>
      </c>
      <c r="T85" s="60">
        <v>219339.04</v>
      </c>
      <c r="U85" s="60">
        <v>76813.7</v>
      </c>
      <c r="V85" s="201">
        <f t="shared" si="22"/>
        <v>1014405.8600000001</v>
      </c>
      <c r="W85" s="125">
        <f t="shared" si="23"/>
        <v>601378.47</v>
      </c>
      <c r="X85" s="202">
        <f t="shared" si="18"/>
        <v>1398500.84</v>
      </c>
      <c r="Y85" s="202">
        <f t="shared" si="19"/>
        <v>985473.45</v>
      </c>
      <c r="Z85" s="203">
        <f t="shared" si="20"/>
        <v>413027.39000000013</v>
      </c>
      <c r="AA85" s="204">
        <v>1665565.49</v>
      </c>
      <c r="AB85" s="205">
        <f t="shared" si="21"/>
        <v>680092.04</v>
      </c>
      <c r="AC85" s="58">
        <v>2031</v>
      </c>
    </row>
    <row r="86" spans="6:29" ht="11.25">
      <c r="F86" s="170">
        <v>2035</v>
      </c>
      <c r="G86" s="171">
        <f t="shared" si="13"/>
        <v>0</v>
      </c>
      <c r="H86" s="172">
        <f t="shared" si="14"/>
        <v>1695652.16</v>
      </c>
      <c r="I86" s="172">
        <f t="shared" si="15"/>
        <v>1000000</v>
      </c>
      <c r="J86" s="173">
        <f t="shared" si="16"/>
        <v>500000</v>
      </c>
      <c r="K86" s="174">
        <f t="shared" si="17"/>
        <v>3195652.16</v>
      </c>
      <c r="N86" s="58">
        <v>2032</v>
      </c>
      <c r="O86" s="123">
        <v>257126.88</v>
      </c>
      <c r="Q86" s="124">
        <v>374069.96</v>
      </c>
      <c r="R86" s="60">
        <v>370356.16</v>
      </c>
      <c r="S86" s="60">
        <v>126900.88</v>
      </c>
      <c r="T86" s="60">
        <v>204339.04</v>
      </c>
      <c r="U86" s="60">
        <v>71716.99</v>
      </c>
      <c r="V86" s="201">
        <f t="shared" si="22"/>
        <v>948765.16</v>
      </c>
      <c r="W86" s="125">
        <f t="shared" si="23"/>
        <v>572687.8300000001</v>
      </c>
      <c r="X86" s="202">
        <f t="shared" si="18"/>
        <v>1205892.04</v>
      </c>
      <c r="Y86" s="202">
        <f t="shared" si="19"/>
        <v>829814.7100000001</v>
      </c>
      <c r="Z86" s="203">
        <f t="shared" si="20"/>
        <v>376077.32999999996</v>
      </c>
      <c r="AA86" s="204">
        <v>1478942.68</v>
      </c>
      <c r="AB86" s="205">
        <f t="shared" si="21"/>
        <v>649127.9699999999</v>
      </c>
      <c r="AC86" s="58">
        <v>2032</v>
      </c>
    </row>
    <row r="87" spans="6:29" ht="11.25">
      <c r="F87" s="170">
        <v>2036</v>
      </c>
      <c r="G87" s="171">
        <f t="shared" si="13"/>
        <v>0</v>
      </c>
      <c r="H87" s="172">
        <f t="shared" si="14"/>
        <v>1695652.16</v>
      </c>
      <c r="I87" s="172">
        <f t="shared" si="15"/>
        <v>1000000</v>
      </c>
      <c r="J87" s="173">
        <f t="shared" si="16"/>
        <v>500000</v>
      </c>
      <c r="K87" s="174">
        <f t="shared" si="17"/>
        <v>3195652.16</v>
      </c>
      <c r="N87" s="58">
        <v>2033</v>
      </c>
      <c r="O87" s="123">
        <v>187589.07</v>
      </c>
      <c r="Q87" s="124">
        <v>344455.92</v>
      </c>
      <c r="R87" s="60">
        <v>310356.16</v>
      </c>
      <c r="S87" s="60">
        <v>105332.05</v>
      </c>
      <c r="T87" s="60">
        <v>189339.04</v>
      </c>
      <c r="U87" s="60">
        <v>66213.7</v>
      </c>
      <c r="V87" s="201">
        <f t="shared" si="22"/>
        <v>844151.12</v>
      </c>
      <c r="W87" s="125">
        <f t="shared" si="23"/>
        <v>516001.67</v>
      </c>
      <c r="X87" s="202">
        <f t="shared" si="18"/>
        <v>1031740.19</v>
      </c>
      <c r="Y87" s="202">
        <f t="shared" si="19"/>
        <v>703590.74</v>
      </c>
      <c r="Z87" s="203">
        <f t="shared" si="20"/>
        <v>328149.44999999995</v>
      </c>
      <c r="AA87" s="204">
        <v>1316193.52</v>
      </c>
      <c r="AB87" s="205">
        <f t="shared" si="21"/>
        <v>612602.78</v>
      </c>
      <c r="AC87" s="58">
        <v>2033</v>
      </c>
    </row>
    <row r="88" spans="6:29" ht="11.25">
      <c r="F88" s="170">
        <v>2037</v>
      </c>
      <c r="G88" s="171">
        <f t="shared" si="13"/>
        <v>0</v>
      </c>
      <c r="H88" s="172">
        <f t="shared" si="14"/>
        <v>769565.2</v>
      </c>
      <c r="I88" s="172">
        <f t="shared" si="15"/>
        <v>1000000</v>
      </c>
      <c r="J88" s="173">
        <f t="shared" si="16"/>
        <v>500000</v>
      </c>
      <c r="K88" s="174">
        <f t="shared" si="17"/>
        <v>2269565.2</v>
      </c>
      <c r="N88" s="58">
        <v>2034</v>
      </c>
      <c r="O88" s="123">
        <v>155371.68</v>
      </c>
      <c r="Q88" s="124">
        <v>301455.92</v>
      </c>
      <c r="R88" s="60">
        <v>250356.16</v>
      </c>
      <c r="S88" s="60">
        <v>84132.05</v>
      </c>
      <c r="T88" s="60">
        <v>174339.04</v>
      </c>
      <c r="U88" s="60">
        <v>60913.7</v>
      </c>
      <c r="V88" s="201">
        <f t="shared" si="22"/>
        <v>726151.12</v>
      </c>
      <c r="W88" s="125">
        <f t="shared" si="23"/>
        <v>446501.67</v>
      </c>
      <c r="X88" s="202">
        <f t="shared" si="18"/>
        <v>881522.8</v>
      </c>
      <c r="Y88" s="202">
        <f t="shared" si="19"/>
        <v>601873.35</v>
      </c>
      <c r="Z88" s="203">
        <f t="shared" si="20"/>
        <v>279649.45000000007</v>
      </c>
      <c r="AA88" s="204">
        <v>1177293.52</v>
      </c>
      <c r="AB88" s="205">
        <f t="shared" si="21"/>
        <v>575420.17</v>
      </c>
      <c r="AC88" s="58">
        <v>2034</v>
      </c>
    </row>
    <row r="89" spans="6:29" ht="11.25">
      <c r="F89" s="170">
        <v>2038</v>
      </c>
      <c r="G89" s="171">
        <f t="shared" si="13"/>
        <v>0</v>
      </c>
      <c r="H89" s="172">
        <f t="shared" si="14"/>
        <v>769565.2</v>
      </c>
      <c r="I89" s="172">
        <f t="shared" si="15"/>
        <v>1000000</v>
      </c>
      <c r="J89" s="173">
        <f t="shared" si="16"/>
        <v>1000000</v>
      </c>
      <c r="K89" s="174">
        <f t="shared" si="17"/>
        <v>2769565.2</v>
      </c>
      <c r="N89" s="58">
        <v>2035</v>
      </c>
      <c r="O89" s="123">
        <v>123154.29</v>
      </c>
      <c r="Q89" s="124">
        <v>258455.92</v>
      </c>
      <c r="R89" s="60">
        <v>201678.08</v>
      </c>
      <c r="S89" s="60">
        <v>66976.03</v>
      </c>
      <c r="T89" s="60">
        <v>159339.04</v>
      </c>
      <c r="U89" s="60">
        <v>55613.7</v>
      </c>
      <c r="V89" s="201">
        <f t="shared" si="22"/>
        <v>619473.04</v>
      </c>
      <c r="W89" s="125">
        <f t="shared" si="23"/>
        <v>381045.65</v>
      </c>
      <c r="X89" s="202">
        <f t="shared" si="18"/>
        <v>742627.3300000001</v>
      </c>
      <c r="Y89" s="202">
        <f t="shared" si="19"/>
        <v>504199.94</v>
      </c>
      <c r="Z89" s="203">
        <f t="shared" si="20"/>
        <v>238427.39000000007</v>
      </c>
      <c r="AA89" s="204">
        <v>1042544.89</v>
      </c>
      <c r="AB89" s="205">
        <f t="shared" si="21"/>
        <v>538344.95</v>
      </c>
      <c r="AC89" s="58">
        <v>2035</v>
      </c>
    </row>
    <row r="90" spans="6:29" ht="11.25">
      <c r="F90" s="170">
        <v>2039</v>
      </c>
      <c r="G90" s="171">
        <f t="shared" si="13"/>
        <v>0</v>
      </c>
      <c r="H90" s="172">
        <f t="shared" si="14"/>
        <v>769565.2</v>
      </c>
      <c r="I90" s="172">
        <f t="shared" si="15"/>
        <v>1000000</v>
      </c>
      <c r="J90" s="173">
        <f t="shared" si="16"/>
        <v>1000000</v>
      </c>
      <c r="K90" s="174">
        <f t="shared" si="17"/>
        <v>2769565.2</v>
      </c>
      <c r="N90" s="58">
        <v>2036</v>
      </c>
      <c r="O90" s="123">
        <v>91219.35</v>
      </c>
      <c r="Q90" s="124">
        <v>215455.92</v>
      </c>
      <c r="R90" s="60">
        <v>171678.08</v>
      </c>
      <c r="S90" s="60">
        <v>56541.56</v>
      </c>
      <c r="T90" s="60">
        <v>144339.04</v>
      </c>
      <c r="U90" s="60">
        <v>50458.9</v>
      </c>
      <c r="V90" s="201">
        <f t="shared" si="22"/>
        <v>531473.04</v>
      </c>
      <c r="W90" s="125">
        <f t="shared" si="23"/>
        <v>322456.38</v>
      </c>
      <c r="X90" s="202">
        <f t="shared" si="18"/>
        <v>622692.39</v>
      </c>
      <c r="Y90" s="202">
        <f t="shared" si="19"/>
        <v>413675.73</v>
      </c>
      <c r="Z90" s="203">
        <f t="shared" si="20"/>
        <v>209016.66000000003</v>
      </c>
      <c r="AA90" s="204">
        <v>914914.01</v>
      </c>
      <c r="AB90" s="205">
        <f t="shared" si="21"/>
        <v>501238.28</v>
      </c>
      <c r="AC90" s="58">
        <v>2036</v>
      </c>
    </row>
    <row r="91" spans="6:29" ht="11.25">
      <c r="F91" s="170">
        <v>2040</v>
      </c>
      <c r="G91" s="171">
        <f t="shared" si="13"/>
        <v>0</v>
      </c>
      <c r="H91" s="172">
        <f t="shared" si="14"/>
        <v>769565.2</v>
      </c>
      <c r="I91" s="172">
        <f t="shared" si="15"/>
        <v>1000000</v>
      </c>
      <c r="J91" s="173">
        <f t="shared" si="16"/>
        <v>1000000</v>
      </c>
      <c r="K91" s="174">
        <f t="shared" si="17"/>
        <v>2769565.2</v>
      </c>
      <c r="N91" s="58">
        <v>2037</v>
      </c>
      <c r="O91" s="123">
        <v>65360.06</v>
      </c>
      <c r="Q91" s="124">
        <v>172455.92</v>
      </c>
      <c r="R91" s="60">
        <v>141678.08</v>
      </c>
      <c r="S91" s="60">
        <v>45776.03</v>
      </c>
      <c r="T91" s="60">
        <v>129339.04</v>
      </c>
      <c r="U91" s="60">
        <v>45013.7</v>
      </c>
      <c r="V91" s="201">
        <f t="shared" si="22"/>
        <v>443473.04</v>
      </c>
      <c r="W91" s="125">
        <f t="shared" si="23"/>
        <v>263245.65</v>
      </c>
      <c r="X91" s="202">
        <f t="shared" si="18"/>
        <v>508833.1</v>
      </c>
      <c r="Y91" s="202">
        <f t="shared" si="19"/>
        <v>328605.71</v>
      </c>
      <c r="Z91" s="203">
        <f t="shared" si="20"/>
        <v>180227.38999999996</v>
      </c>
      <c r="AA91" s="204">
        <v>796927.07</v>
      </c>
      <c r="AB91" s="205">
        <f t="shared" si="21"/>
        <v>468321.3599999999</v>
      </c>
      <c r="AC91" s="58">
        <v>2037</v>
      </c>
    </row>
    <row r="92" spans="6:29" ht="11.25">
      <c r="F92" s="170">
        <v>2041</v>
      </c>
      <c r="G92" s="171">
        <f t="shared" si="13"/>
        <v>0</v>
      </c>
      <c r="H92" s="172">
        <f t="shared" si="14"/>
        <v>644869.6</v>
      </c>
      <c r="I92" s="172">
        <f t="shared" si="15"/>
        <v>699999.9999999999</v>
      </c>
      <c r="J92" s="173">
        <f t="shared" si="16"/>
        <v>1000000</v>
      </c>
      <c r="K92" s="174">
        <f t="shared" si="17"/>
        <v>2344869.5999999996</v>
      </c>
      <c r="N92" s="58">
        <v>2038</v>
      </c>
      <c r="O92" s="123">
        <v>50738.32</v>
      </c>
      <c r="Q92" s="124">
        <v>129455.92</v>
      </c>
      <c r="R92" s="60">
        <v>111678.08</v>
      </c>
      <c r="S92" s="60">
        <v>35176.03</v>
      </c>
      <c r="T92" s="60">
        <v>108678.08</v>
      </c>
      <c r="U92" s="60">
        <v>38356.03</v>
      </c>
      <c r="V92" s="201">
        <f t="shared" si="22"/>
        <v>349812.08</v>
      </c>
      <c r="W92" s="125">
        <f t="shared" si="23"/>
        <v>202987.98</v>
      </c>
      <c r="X92" s="202">
        <f t="shared" si="18"/>
        <v>400550.4</v>
      </c>
      <c r="Y92" s="202">
        <f t="shared" si="19"/>
        <v>253726.30000000002</v>
      </c>
      <c r="Z92" s="203">
        <f t="shared" si="20"/>
        <v>146824.1</v>
      </c>
      <c r="AA92" s="204">
        <v>690346.11</v>
      </c>
      <c r="AB92" s="205">
        <f t="shared" si="21"/>
        <v>436619.80999999994</v>
      </c>
      <c r="AC92" s="58">
        <v>2038</v>
      </c>
    </row>
    <row r="93" spans="6:29" ht="11.25">
      <c r="F93" s="175" t="s">
        <v>42</v>
      </c>
      <c r="G93" s="176">
        <f>SUM(G72:G92)</f>
        <v>61621350</v>
      </c>
      <c r="H93" s="177">
        <f>SUM(H72:H92)</f>
        <v>14999999.999999996</v>
      </c>
      <c r="I93" s="177">
        <f>SUM(I72:I92)</f>
        <v>16900000</v>
      </c>
      <c r="J93" s="176">
        <f>SUM(J72:J92)</f>
        <v>10000000</v>
      </c>
      <c r="K93" s="178">
        <f>SUM(K72:K92)</f>
        <v>103521349.99999999</v>
      </c>
      <c r="N93" s="58">
        <v>2039</v>
      </c>
      <c r="O93" s="123">
        <v>36116.58</v>
      </c>
      <c r="Q93" s="124">
        <v>86455.92</v>
      </c>
      <c r="R93" s="60">
        <v>81678.08</v>
      </c>
      <c r="S93" s="60">
        <v>24576.03</v>
      </c>
      <c r="T93" s="60">
        <v>78678.08</v>
      </c>
      <c r="U93" s="60">
        <v>27756.03</v>
      </c>
      <c r="V93" s="201">
        <f t="shared" si="22"/>
        <v>246812.08000000002</v>
      </c>
      <c r="W93" s="125">
        <f t="shared" si="23"/>
        <v>138787.97999999998</v>
      </c>
      <c r="X93" s="202">
        <f t="shared" si="18"/>
        <v>282928.66000000003</v>
      </c>
      <c r="Y93" s="202">
        <f t="shared" si="19"/>
        <v>174904.56</v>
      </c>
      <c r="Z93" s="203">
        <f t="shared" si="20"/>
        <v>108024.10000000003</v>
      </c>
      <c r="AA93" s="204">
        <v>574426.11</v>
      </c>
      <c r="AB93" s="205">
        <f t="shared" si="21"/>
        <v>399521.55</v>
      </c>
      <c r="AC93" s="58">
        <v>2039</v>
      </c>
    </row>
    <row r="94" spans="14:29" ht="11.25">
      <c r="N94" s="58">
        <v>2040</v>
      </c>
      <c r="O94" s="123">
        <v>21568.85</v>
      </c>
      <c r="Q94" s="124">
        <v>47512.94</v>
      </c>
      <c r="R94" s="60">
        <v>51678.08</v>
      </c>
      <c r="S94" s="60">
        <v>14025.4</v>
      </c>
      <c r="T94" s="60">
        <v>48678.08</v>
      </c>
      <c r="U94" s="60">
        <v>17214.11</v>
      </c>
      <c r="V94" s="201">
        <f t="shared" si="22"/>
        <v>147869.1</v>
      </c>
      <c r="W94" s="125">
        <f t="shared" si="23"/>
        <v>78752.45000000001</v>
      </c>
      <c r="X94" s="202">
        <f t="shared" si="18"/>
        <v>169437.95</v>
      </c>
      <c r="Y94" s="202">
        <f t="shared" si="19"/>
        <v>100321.30000000002</v>
      </c>
      <c r="Z94" s="203">
        <f t="shared" si="20"/>
        <v>69116.65</v>
      </c>
      <c r="AA94" s="204">
        <v>462616.74</v>
      </c>
      <c r="AB94" s="205">
        <f t="shared" si="21"/>
        <v>362295.43999999994</v>
      </c>
      <c r="AC94" s="58">
        <v>2040</v>
      </c>
    </row>
    <row r="95" spans="14:29" ht="11.25">
      <c r="N95" s="58">
        <v>2041</v>
      </c>
      <c r="O95" s="123">
        <v>7714.86</v>
      </c>
      <c r="Q95" s="124">
        <v>17080.48</v>
      </c>
      <c r="R95" s="60">
        <v>20545.89</v>
      </c>
      <c r="S95" s="137">
        <v>3525.59</v>
      </c>
      <c r="T95" s="60">
        <v>18678.08</v>
      </c>
      <c r="U95" s="60">
        <v>6556.02</v>
      </c>
      <c r="V95" s="201">
        <f t="shared" si="22"/>
        <v>56304.45</v>
      </c>
      <c r="W95" s="125">
        <f t="shared" si="23"/>
        <v>27162.09</v>
      </c>
      <c r="X95" s="202">
        <f t="shared" si="18"/>
        <v>64019.31</v>
      </c>
      <c r="Y95" s="202">
        <f t="shared" si="19"/>
        <v>34876.95</v>
      </c>
      <c r="Z95" s="203">
        <f t="shared" si="20"/>
        <v>29142.36</v>
      </c>
      <c r="AA95" s="204">
        <v>360444.76</v>
      </c>
      <c r="AB95" s="205">
        <f t="shared" si="21"/>
        <v>325567.81</v>
      </c>
      <c r="AC95" s="58">
        <v>2041</v>
      </c>
    </row>
    <row r="96" spans="14:29" ht="13.5" customHeight="1">
      <c r="N96" s="144"/>
      <c r="O96" s="145">
        <v>13559155.129999999</v>
      </c>
      <c r="Q96" s="125">
        <v>6023632.37</v>
      </c>
      <c r="R96" s="125">
        <v>6574607.850000001</v>
      </c>
      <c r="S96" s="88">
        <f>SUM(S75:S95)</f>
        <v>2252330.5101369857</v>
      </c>
      <c r="T96" s="125">
        <v>3651780.8200000008</v>
      </c>
      <c r="U96" s="125">
        <f>SUM(U75:U95)</f>
        <v>1297604.1199999999</v>
      </c>
      <c r="V96" s="206">
        <f t="shared" si="22"/>
        <v>16250021.040000001</v>
      </c>
      <c r="W96" s="147">
        <v>9591519.9127779</v>
      </c>
      <c r="X96" s="207">
        <f t="shared" si="18"/>
        <v>29809176.17</v>
      </c>
      <c r="Y96" s="207">
        <f t="shared" si="19"/>
        <v>23150675.0427779</v>
      </c>
      <c r="Z96" s="208">
        <f t="shared" si="20"/>
        <v>6658501.127222102</v>
      </c>
      <c r="AA96" s="125">
        <f>SUM(AA75:AA95)</f>
        <v>34037874.349999994</v>
      </c>
      <c r="AB96" s="205">
        <f t="shared" si="21"/>
        <v>10887199.307222094</v>
      </c>
      <c r="AC96"/>
    </row>
    <row r="97" spans="14:29" ht="12.75">
      <c r="N97" s="11"/>
      <c r="O97" s="154"/>
      <c r="Q97" s="188"/>
      <c r="R97" s="133"/>
      <c r="S97" s="133"/>
      <c r="T97" s="133"/>
      <c r="U97" s="133"/>
      <c r="V97" s="133"/>
      <c r="W97" s="133"/>
      <c r="X97" s="133"/>
      <c r="Y97" s="133"/>
      <c r="Z97" s="188"/>
      <c r="AA97" s="188"/>
      <c r="AB97" s="188"/>
      <c r="AC97"/>
    </row>
  </sheetData>
  <sheetProtection selectLockedCells="1" selectUnlockedCells="1"/>
  <mergeCells count="9">
    <mergeCell ref="R71:R72"/>
    <mergeCell ref="T71:T72"/>
    <mergeCell ref="C1:G1"/>
    <mergeCell ref="L1:Q1"/>
    <mergeCell ref="A3:B3"/>
    <mergeCell ref="B4:F4"/>
    <mergeCell ref="C7:F7"/>
    <mergeCell ref="G7:J7"/>
    <mergeCell ref="K7:M7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3" width="11.8515625" style="0" customWidth="1"/>
    <col min="4" max="4" width="11.00390625" style="0" customWidth="1"/>
    <col min="5" max="5" width="12.7109375" style="0" customWidth="1"/>
    <col min="6" max="7" width="10.8515625" style="0" customWidth="1"/>
    <col min="8" max="10" width="11.8515625" style="0" customWidth="1"/>
    <col min="11" max="11" width="13.7109375" style="0" customWidth="1"/>
    <col min="12" max="12" width="13.28125" style="0" customWidth="1"/>
    <col min="13" max="13" width="11.8515625" style="0" customWidth="1"/>
    <col min="14" max="14" width="14.57421875" style="0" customWidth="1"/>
  </cols>
  <sheetData>
    <row r="1" spans="1:7" ht="12.75">
      <c r="A1" s="187" t="s">
        <v>73</v>
      </c>
      <c r="B1" s="188"/>
      <c r="C1" s="189"/>
      <c r="D1" s="853">
        <v>0.03</v>
      </c>
      <c r="E1" s="190">
        <v>0.85</v>
      </c>
      <c r="F1" s="854">
        <v>0.03</v>
      </c>
      <c r="G1" s="190">
        <v>0.85</v>
      </c>
    </row>
    <row r="2" spans="1:7" ht="12.75">
      <c r="A2" s="187" t="s">
        <v>74</v>
      </c>
      <c r="B2" s="188"/>
      <c r="C2" s="189"/>
      <c r="D2" s="853"/>
      <c r="E2" s="191">
        <v>0.21</v>
      </c>
      <c r="F2" s="854"/>
      <c r="G2" s="192">
        <v>0.21</v>
      </c>
    </row>
    <row r="3" spans="1:14" ht="67.5">
      <c r="A3" s="105" t="s">
        <v>48</v>
      </c>
      <c r="B3" s="110" t="s">
        <v>53</v>
      </c>
      <c r="C3" s="111" t="s">
        <v>25</v>
      </c>
      <c r="D3" s="193" t="s">
        <v>54</v>
      </c>
      <c r="E3" s="193" t="s">
        <v>75</v>
      </c>
      <c r="F3" s="193" t="s">
        <v>27</v>
      </c>
      <c r="G3" s="193" t="s">
        <v>76</v>
      </c>
      <c r="H3" s="113" t="s">
        <v>77</v>
      </c>
      <c r="I3" s="113" t="s">
        <v>78</v>
      </c>
      <c r="J3" s="194" t="s">
        <v>79</v>
      </c>
      <c r="K3" s="194" t="s">
        <v>80</v>
      </c>
      <c r="L3" s="195" t="s">
        <v>81</v>
      </c>
      <c r="M3" s="194" t="s">
        <v>82</v>
      </c>
      <c r="N3" s="196" t="s">
        <v>83</v>
      </c>
    </row>
    <row r="4" spans="1:15" ht="12.75">
      <c r="A4" s="197"/>
      <c r="B4" s="198"/>
      <c r="C4" s="198"/>
      <c r="D4" s="199"/>
      <c r="E4" s="199"/>
      <c r="F4" s="199"/>
      <c r="G4" s="199"/>
      <c r="H4" s="198"/>
      <c r="I4" s="198"/>
      <c r="J4" s="198"/>
      <c r="K4" s="198"/>
      <c r="L4" s="198"/>
      <c r="M4" s="198"/>
      <c r="N4" s="198"/>
      <c r="O4" s="200"/>
    </row>
    <row r="5" spans="1:15" ht="12.75">
      <c r="A5" s="58">
        <v>2021</v>
      </c>
      <c r="B5" s="123">
        <v>1488268.94</v>
      </c>
      <c r="C5" s="124">
        <v>226076.56</v>
      </c>
      <c r="D5" s="60"/>
      <c r="E5" s="60">
        <v>15214.630136986301</v>
      </c>
      <c r="F5" s="60"/>
      <c r="G5" s="60"/>
      <c r="H5" s="201">
        <v>226076.56</v>
      </c>
      <c r="I5" s="125">
        <v>241291.1901369863</v>
      </c>
      <c r="J5" s="202">
        <f aca="true" t="shared" si="0" ref="J5:J26">B5+H5</f>
        <v>1714345.5</v>
      </c>
      <c r="K5" s="202">
        <f aca="true" t="shared" si="1" ref="K5:K26">B5+I5</f>
        <v>1729560.1301369863</v>
      </c>
      <c r="L5" s="203">
        <f aca="true" t="shared" si="2" ref="L5:L26">J5-K5</f>
        <v>-15214.630136986263</v>
      </c>
      <c r="M5" s="204">
        <v>2050000</v>
      </c>
      <c r="N5" s="205">
        <f aca="true" t="shared" si="3" ref="N5:N26">M5-K5</f>
        <v>320439.86986301374</v>
      </c>
      <c r="O5" s="58">
        <v>2021</v>
      </c>
    </row>
    <row r="6" spans="1:15" ht="12.75">
      <c r="A6" s="58">
        <v>2022</v>
      </c>
      <c r="B6" s="123">
        <v>1420881.5399999998</v>
      </c>
      <c r="C6" s="124">
        <v>385572.89</v>
      </c>
      <c r="D6" s="60">
        <v>510410.96</v>
      </c>
      <c r="E6" s="60">
        <v>178737.78</v>
      </c>
      <c r="F6" s="60"/>
      <c r="G6" s="60">
        <v>17715.07</v>
      </c>
      <c r="H6" s="201">
        <f aca="true" t="shared" si="4" ref="H6:H26">C6+D6+F6</f>
        <v>895983.8500000001</v>
      </c>
      <c r="I6" s="125">
        <f aca="true" t="shared" si="5" ref="I6:I25">C6+E6+G6</f>
        <v>582025.74</v>
      </c>
      <c r="J6" s="202">
        <f t="shared" si="0"/>
        <v>2316865.3899999997</v>
      </c>
      <c r="K6" s="202">
        <f t="shared" si="1"/>
        <v>2002907.2799999998</v>
      </c>
      <c r="L6" s="203">
        <f t="shared" si="2"/>
        <v>313958.10999999987</v>
      </c>
      <c r="M6" s="204">
        <v>2601206.25</v>
      </c>
      <c r="N6" s="205">
        <f t="shared" si="3"/>
        <v>598298.9700000002</v>
      </c>
      <c r="O6" s="58">
        <v>2022</v>
      </c>
    </row>
    <row r="7" spans="1:15" ht="12.75">
      <c r="A7" s="58">
        <v>2023</v>
      </c>
      <c r="B7" s="123">
        <v>1386287.7499999998</v>
      </c>
      <c r="C7" s="124">
        <v>385551.39</v>
      </c>
      <c r="D7" s="60">
        <v>516367.81</v>
      </c>
      <c r="E7" s="60">
        <v>177805.56</v>
      </c>
      <c r="F7" s="60">
        <v>297735.62</v>
      </c>
      <c r="G7" s="60">
        <v>104391.12</v>
      </c>
      <c r="H7" s="201">
        <f t="shared" si="4"/>
        <v>1199654.8199999998</v>
      </c>
      <c r="I7" s="125">
        <f t="shared" si="5"/>
        <v>667748.07</v>
      </c>
      <c r="J7" s="202">
        <f t="shared" si="0"/>
        <v>2585942.5699999994</v>
      </c>
      <c r="K7" s="202">
        <f t="shared" si="1"/>
        <v>2054035.8199999998</v>
      </c>
      <c r="L7" s="203">
        <f t="shared" si="2"/>
        <v>531906.7499999995</v>
      </c>
      <c r="M7" s="204">
        <v>2870099</v>
      </c>
      <c r="N7" s="205">
        <f t="shared" si="3"/>
        <v>816063.1800000002</v>
      </c>
      <c r="O7" s="58">
        <v>2023</v>
      </c>
    </row>
    <row r="8" spans="1:15" ht="12.75">
      <c r="A8" s="58">
        <v>2024</v>
      </c>
      <c r="B8" s="123">
        <v>1259240.19</v>
      </c>
      <c r="C8" s="124">
        <v>385529.89</v>
      </c>
      <c r="D8" s="60">
        <v>512801.71</v>
      </c>
      <c r="E8" s="60">
        <v>176346.64</v>
      </c>
      <c r="F8" s="60">
        <v>291735.62</v>
      </c>
      <c r="G8" s="60">
        <v>102275.52</v>
      </c>
      <c r="H8" s="201">
        <f t="shared" si="4"/>
        <v>1190067.2200000002</v>
      </c>
      <c r="I8" s="125">
        <f t="shared" si="5"/>
        <v>664152.05</v>
      </c>
      <c r="J8" s="202">
        <f t="shared" si="0"/>
        <v>2449307.41</v>
      </c>
      <c r="K8" s="202">
        <f t="shared" si="1"/>
        <v>1923392.24</v>
      </c>
      <c r="L8" s="203">
        <f t="shared" si="2"/>
        <v>525915.1700000002</v>
      </c>
      <c r="M8" s="204">
        <v>2710782.27</v>
      </c>
      <c r="N8" s="205">
        <f t="shared" si="3"/>
        <v>787390.03</v>
      </c>
      <c r="O8" s="58">
        <v>2024</v>
      </c>
    </row>
    <row r="9" spans="1:15" ht="12.75">
      <c r="A9" s="58">
        <v>2025</v>
      </c>
      <c r="B9" s="123">
        <v>1089287.45</v>
      </c>
      <c r="C9" s="124">
        <v>385500.27</v>
      </c>
      <c r="D9" s="60">
        <v>508301.71</v>
      </c>
      <c r="E9" s="60">
        <v>174753.34</v>
      </c>
      <c r="F9" s="60">
        <v>285735.62</v>
      </c>
      <c r="G9" s="60">
        <v>100151.12</v>
      </c>
      <c r="H9" s="201">
        <f t="shared" si="4"/>
        <v>1179537.6</v>
      </c>
      <c r="I9" s="125">
        <f t="shared" si="5"/>
        <v>660404.73</v>
      </c>
      <c r="J9" s="202">
        <f t="shared" si="0"/>
        <v>2268825.05</v>
      </c>
      <c r="K9" s="202">
        <f t="shared" si="1"/>
        <v>1749692.18</v>
      </c>
      <c r="L9" s="203">
        <f t="shared" si="2"/>
        <v>519132.8699999999</v>
      </c>
      <c r="M9" s="204">
        <v>2530694.6</v>
      </c>
      <c r="N9" s="205">
        <f t="shared" si="3"/>
        <v>781002.4200000002</v>
      </c>
      <c r="O9" s="58">
        <v>2025</v>
      </c>
    </row>
    <row r="10" spans="1:15" ht="12.75">
      <c r="A10" s="58">
        <v>2026</v>
      </c>
      <c r="B10" s="123">
        <v>996762.82</v>
      </c>
      <c r="C10" s="124">
        <v>385441.04</v>
      </c>
      <c r="D10" s="60">
        <v>503235.62</v>
      </c>
      <c r="E10" s="60">
        <v>172761.12</v>
      </c>
      <c r="F10" s="60">
        <v>279735.62</v>
      </c>
      <c r="G10" s="60">
        <v>98031.12</v>
      </c>
      <c r="H10" s="201">
        <f t="shared" si="4"/>
        <v>1168412.2799999998</v>
      </c>
      <c r="I10" s="125">
        <f t="shared" si="5"/>
        <v>656233.2799999999</v>
      </c>
      <c r="J10" s="202">
        <f t="shared" si="0"/>
        <v>2165175.0999999996</v>
      </c>
      <c r="K10" s="202">
        <f t="shared" si="1"/>
        <v>1652996.0999999999</v>
      </c>
      <c r="L10" s="203">
        <f t="shared" si="2"/>
        <v>512178.99999999977</v>
      </c>
      <c r="M10" s="204">
        <v>2427333.78</v>
      </c>
      <c r="N10" s="205">
        <f t="shared" si="3"/>
        <v>774337.6799999999</v>
      </c>
      <c r="O10" s="58">
        <v>2026</v>
      </c>
    </row>
    <row r="11" spans="1:15" ht="12.75">
      <c r="A11" s="58">
        <v>2027</v>
      </c>
      <c r="B11" s="123">
        <v>899988.93</v>
      </c>
      <c r="C11" s="124">
        <v>385346.93</v>
      </c>
      <c r="D11" s="60">
        <v>497235.62</v>
      </c>
      <c r="E11" s="60">
        <v>170641.12</v>
      </c>
      <c r="F11" s="60">
        <v>273735.62</v>
      </c>
      <c r="G11" s="60">
        <v>95911.12</v>
      </c>
      <c r="H11" s="201">
        <f t="shared" si="4"/>
        <v>1156318.17</v>
      </c>
      <c r="I11" s="125">
        <f t="shared" si="5"/>
        <v>651899.17</v>
      </c>
      <c r="J11" s="202">
        <f t="shared" si="0"/>
        <v>2056307.1</v>
      </c>
      <c r="K11" s="202">
        <f t="shared" si="1"/>
        <v>1551888.1</v>
      </c>
      <c r="L11" s="203">
        <f t="shared" si="2"/>
        <v>504419</v>
      </c>
      <c r="M11" s="204">
        <v>2318240.51</v>
      </c>
      <c r="N11" s="205">
        <f t="shared" si="3"/>
        <v>766352.4099999997</v>
      </c>
      <c r="O11" s="58">
        <v>2027</v>
      </c>
    </row>
    <row r="12" spans="1:15" ht="12.75">
      <c r="A12" s="58">
        <v>2028</v>
      </c>
      <c r="B12" s="123">
        <v>768638.06</v>
      </c>
      <c r="C12" s="124">
        <v>385166.4</v>
      </c>
      <c r="D12" s="60">
        <v>489537.33</v>
      </c>
      <c r="E12" s="60">
        <v>167780.58</v>
      </c>
      <c r="F12" s="60">
        <v>264339.04</v>
      </c>
      <c r="G12" s="60">
        <v>92975.07</v>
      </c>
      <c r="H12" s="201">
        <f t="shared" si="4"/>
        <v>1139042.77</v>
      </c>
      <c r="I12" s="125">
        <f t="shared" si="5"/>
        <v>645922.05</v>
      </c>
      <c r="J12" s="202">
        <f t="shared" si="0"/>
        <v>1907680.83</v>
      </c>
      <c r="K12" s="202">
        <f t="shared" si="1"/>
        <v>1414560.11</v>
      </c>
      <c r="L12" s="203">
        <f t="shared" si="2"/>
        <v>493120.72</v>
      </c>
      <c r="M12" s="204">
        <v>2168434.2</v>
      </c>
      <c r="N12" s="205">
        <f t="shared" si="3"/>
        <v>753874.0900000001</v>
      </c>
      <c r="O12" s="58">
        <v>2028</v>
      </c>
    </row>
    <row r="13" spans="1:15" ht="12.75">
      <c r="A13" s="58">
        <v>2029</v>
      </c>
      <c r="B13" s="123">
        <v>663347.28</v>
      </c>
      <c r="C13" s="124">
        <v>384816.72</v>
      </c>
      <c r="D13" s="60">
        <v>471678.08</v>
      </c>
      <c r="E13" s="60">
        <v>162376.03</v>
      </c>
      <c r="F13" s="60">
        <v>249339.04</v>
      </c>
      <c r="G13" s="60">
        <v>87413.7</v>
      </c>
      <c r="H13" s="201">
        <f t="shared" si="4"/>
        <v>1105833.84</v>
      </c>
      <c r="I13" s="125">
        <f t="shared" si="5"/>
        <v>634606.45</v>
      </c>
      <c r="J13" s="202">
        <f t="shared" si="0"/>
        <v>1769181.12</v>
      </c>
      <c r="K13" s="202">
        <f t="shared" si="1"/>
        <v>1297953.73</v>
      </c>
      <c r="L13" s="203">
        <f t="shared" si="2"/>
        <v>471227.39000000013</v>
      </c>
      <c r="M13" s="204">
        <v>2030463.17</v>
      </c>
      <c r="N13" s="205">
        <f t="shared" si="3"/>
        <v>732509.44</v>
      </c>
      <c r="O13" s="58">
        <v>2029</v>
      </c>
    </row>
    <row r="14" spans="1:15" ht="12.75">
      <c r="A14" s="58">
        <v>2030</v>
      </c>
      <c r="B14" s="123">
        <v>525828.48</v>
      </c>
      <c r="C14" s="124">
        <v>384386.72</v>
      </c>
      <c r="D14" s="60">
        <v>441678.08</v>
      </c>
      <c r="E14" s="60">
        <v>151776.03</v>
      </c>
      <c r="F14" s="60">
        <v>234339.04</v>
      </c>
      <c r="G14" s="60">
        <v>82113.7</v>
      </c>
      <c r="H14" s="201">
        <f t="shared" si="4"/>
        <v>1060403.84</v>
      </c>
      <c r="I14" s="125">
        <f t="shared" si="5"/>
        <v>618276.45</v>
      </c>
      <c r="J14" s="202">
        <f t="shared" si="0"/>
        <v>1586232.32</v>
      </c>
      <c r="K14" s="202">
        <f t="shared" si="1"/>
        <v>1144104.93</v>
      </c>
      <c r="L14" s="203">
        <f t="shared" si="2"/>
        <v>442127.39000000013</v>
      </c>
      <c r="M14" s="204">
        <v>1850405.67</v>
      </c>
      <c r="N14" s="205">
        <f t="shared" si="3"/>
        <v>706300.74</v>
      </c>
      <c r="O14" s="58">
        <v>2030</v>
      </c>
    </row>
    <row r="15" spans="1:15" ht="12.75">
      <c r="A15" s="58">
        <v>2031</v>
      </c>
      <c r="B15" s="123">
        <v>384094.98</v>
      </c>
      <c r="C15" s="124">
        <v>383388.74</v>
      </c>
      <c r="D15" s="60">
        <v>411678.08</v>
      </c>
      <c r="E15" s="60">
        <v>141176.03</v>
      </c>
      <c r="F15" s="60">
        <v>219339.04</v>
      </c>
      <c r="G15" s="60">
        <v>76813.7</v>
      </c>
      <c r="H15" s="201">
        <f t="shared" si="4"/>
        <v>1014405.8600000001</v>
      </c>
      <c r="I15" s="125">
        <f t="shared" si="5"/>
        <v>601378.47</v>
      </c>
      <c r="J15" s="202">
        <f t="shared" si="0"/>
        <v>1398500.84</v>
      </c>
      <c r="K15" s="202">
        <f t="shared" si="1"/>
        <v>985473.45</v>
      </c>
      <c r="L15" s="203">
        <f t="shared" si="2"/>
        <v>413027.39000000013</v>
      </c>
      <c r="M15" s="204">
        <v>1665565.49</v>
      </c>
      <c r="N15" s="205">
        <f t="shared" si="3"/>
        <v>680092.04</v>
      </c>
      <c r="O15" s="58">
        <v>2031</v>
      </c>
    </row>
    <row r="16" spans="1:15" ht="12.75">
      <c r="A16" s="58">
        <v>2032</v>
      </c>
      <c r="B16" s="123">
        <v>257126.88</v>
      </c>
      <c r="C16" s="124">
        <v>374069.96</v>
      </c>
      <c r="D16" s="60">
        <v>370356.16</v>
      </c>
      <c r="E16" s="60">
        <v>126900.88</v>
      </c>
      <c r="F16" s="60">
        <v>204339.04</v>
      </c>
      <c r="G16" s="60">
        <v>71716.99</v>
      </c>
      <c r="H16" s="201">
        <f t="shared" si="4"/>
        <v>948765.16</v>
      </c>
      <c r="I16" s="125">
        <f t="shared" si="5"/>
        <v>572687.8300000001</v>
      </c>
      <c r="J16" s="202">
        <f t="shared" si="0"/>
        <v>1205892.04</v>
      </c>
      <c r="K16" s="202">
        <f t="shared" si="1"/>
        <v>829814.7100000001</v>
      </c>
      <c r="L16" s="203">
        <f t="shared" si="2"/>
        <v>376077.32999999996</v>
      </c>
      <c r="M16" s="204">
        <v>1478942.68</v>
      </c>
      <c r="N16" s="205">
        <f t="shared" si="3"/>
        <v>649127.9699999999</v>
      </c>
      <c r="O16" s="58">
        <v>2032</v>
      </c>
    </row>
    <row r="17" spans="1:15" ht="12.75">
      <c r="A17" s="58">
        <v>2033</v>
      </c>
      <c r="B17" s="123">
        <v>187589.07</v>
      </c>
      <c r="C17" s="124">
        <v>344455.92</v>
      </c>
      <c r="D17" s="60">
        <v>310356.16</v>
      </c>
      <c r="E17" s="60">
        <v>105332.05</v>
      </c>
      <c r="F17" s="60">
        <v>189339.04</v>
      </c>
      <c r="G17" s="60">
        <v>66213.7</v>
      </c>
      <c r="H17" s="201">
        <f t="shared" si="4"/>
        <v>844151.12</v>
      </c>
      <c r="I17" s="125">
        <f t="shared" si="5"/>
        <v>516001.67</v>
      </c>
      <c r="J17" s="202">
        <f t="shared" si="0"/>
        <v>1031740.19</v>
      </c>
      <c r="K17" s="202">
        <f t="shared" si="1"/>
        <v>703590.74</v>
      </c>
      <c r="L17" s="203">
        <f t="shared" si="2"/>
        <v>328149.44999999995</v>
      </c>
      <c r="M17" s="204">
        <v>1316193.52</v>
      </c>
      <c r="N17" s="205">
        <f t="shared" si="3"/>
        <v>612602.78</v>
      </c>
      <c r="O17" s="58">
        <v>2033</v>
      </c>
    </row>
    <row r="18" spans="1:15" ht="12.75">
      <c r="A18" s="58">
        <v>2034</v>
      </c>
      <c r="B18" s="123">
        <v>155371.68</v>
      </c>
      <c r="C18" s="124">
        <v>301455.92</v>
      </c>
      <c r="D18" s="60">
        <v>250356.16</v>
      </c>
      <c r="E18" s="60">
        <v>84132.05</v>
      </c>
      <c r="F18" s="60">
        <v>174339.04</v>
      </c>
      <c r="G18" s="60">
        <v>60913.7</v>
      </c>
      <c r="H18" s="201">
        <f t="shared" si="4"/>
        <v>726151.12</v>
      </c>
      <c r="I18" s="125">
        <f t="shared" si="5"/>
        <v>446501.67</v>
      </c>
      <c r="J18" s="202">
        <f t="shared" si="0"/>
        <v>881522.8</v>
      </c>
      <c r="K18" s="202">
        <f t="shared" si="1"/>
        <v>601873.35</v>
      </c>
      <c r="L18" s="203">
        <f t="shared" si="2"/>
        <v>279649.45000000007</v>
      </c>
      <c r="M18" s="204">
        <v>1177293.52</v>
      </c>
      <c r="N18" s="205">
        <f t="shared" si="3"/>
        <v>575420.17</v>
      </c>
      <c r="O18" s="58">
        <v>2034</v>
      </c>
    </row>
    <row r="19" spans="1:15" ht="12.75">
      <c r="A19" s="58">
        <v>2035</v>
      </c>
      <c r="B19" s="123">
        <v>123154.29</v>
      </c>
      <c r="C19" s="124">
        <v>258455.92</v>
      </c>
      <c r="D19" s="60">
        <v>201678.08</v>
      </c>
      <c r="E19" s="60">
        <v>66976.03</v>
      </c>
      <c r="F19" s="60">
        <v>159339.04</v>
      </c>
      <c r="G19" s="60">
        <v>55613.7</v>
      </c>
      <c r="H19" s="201">
        <f t="shared" si="4"/>
        <v>619473.04</v>
      </c>
      <c r="I19" s="125">
        <f t="shared" si="5"/>
        <v>381045.65</v>
      </c>
      <c r="J19" s="202">
        <f t="shared" si="0"/>
        <v>742627.3300000001</v>
      </c>
      <c r="K19" s="202">
        <f t="shared" si="1"/>
        <v>504199.94</v>
      </c>
      <c r="L19" s="203">
        <f t="shared" si="2"/>
        <v>238427.39000000007</v>
      </c>
      <c r="M19" s="204">
        <v>1042544.89</v>
      </c>
      <c r="N19" s="205">
        <f t="shared" si="3"/>
        <v>538344.95</v>
      </c>
      <c r="O19" s="58">
        <v>2035</v>
      </c>
    </row>
    <row r="20" spans="1:15" ht="12.75">
      <c r="A20" s="58">
        <v>2036</v>
      </c>
      <c r="B20" s="123">
        <v>91219.35</v>
      </c>
      <c r="C20" s="124">
        <v>215455.92</v>
      </c>
      <c r="D20" s="60">
        <v>171678.08</v>
      </c>
      <c r="E20" s="60">
        <v>56541.56</v>
      </c>
      <c r="F20" s="60">
        <v>144339.04</v>
      </c>
      <c r="G20" s="60">
        <v>50458.9</v>
      </c>
      <c r="H20" s="201">
        <f t="shared" si="4"/>
        <v>531473.04</v>
      </c>
      <c r="I20" s="125">
        <f t="shared" si="5"/>
        <v>322456.38</v>
      </c>
      <c r="J20" s="202">
        <f t="shared" si="0"/>
        <v>622692.39</v>
      </c>
      <c r="K20" s="202">
        <f t="shared" si="1"/>
        <v>413675.73</v>
      </c>
      <c r="L20" s="203">
        <f t="shared" si="2"/>
        <v>209016.66000000003</v>
      </c>
      <c r="M20" s="204">
        <v>914914.01</v>
      </c>
      <c r="N20" s="205">
        <f t="shared" si="3"/>
        <v>501238.28</v>
      </c>
      <c r="O20" s="58">
        <v>2036</v>
      </c>
    </row>
    <row r="21" spans="1:15" ht="12.75">
      <c r="A21" s="58">
        <v>2037</v>
      </c>
      <c r="B21" s="123">
        <v>65360.06</v>
      </c>
      <c r="C21" s="124">
        <v>172455.92</v>
      </c>
      <c r="D21" s="60">
        <v>141678.08</v>
      </c>
      <c r="E21" s="60">
        <v>45776.03</v>
      </c>
      <c r="F21" s="60">
        <v>129339.04</v>
      </c>
      <c r="G21" s="60">
        <v>45013.7</v>
      </c>
      <c r="H21" s="201">
        <f t="shared" si="4"/>
        <v>443473.04</v>
      </c>
      <c r="I21" s="125">
        <f t="shared" si="5"/>
        <v>263245.65</v>
      </c>
      <c r="J21" s="202">
        <f t="shared" si="0"/>
        <v>508833.1</v>
      </c>
      <c r="K21" s="202">
        <f t="shared" si="1"/>
        <v>328605.71</v>
      </c>
      <c r="L21" s="203">
        <f t="shared" si="2"/>
        <v>180227.38999999996</v>
      </c>
      <c r="M21" s="204">
        <v>796927.07</v>
      </c>
      <c r="N21" s="205">
        <f t="shared" si="3"/>
        <v>468321.3599999999</v>
      </c>
      <c r="O21" s="58">
        <v>2037</v>
      </c>
    </row>
    <row r="22" spans="1:15" ht="12.75">
      <c r="A22" s="58">
        <v>2038</v>
      </c>
      <c r="B22" s="123">
        <v>50738.32</v>
      </c>
      <c r="C22" s="124">
        <v>129455.92</v>
      </c>
      <c r="D22" s="60">
        <v>111678.08</v>
      </c>
      <c r="E22" s="60">
        <v>35176.03</v>
      </c>
      <c r="F22" s="60">
        <v>108678.08</v>
      </c>
      <c r="G22" s="60">
        <v>38356.03</v>
      </c>
      <c r="H22" s="201">
        <f t="shared" si="4"/>
        <v>349812.08</v>
      </c>
      <c r="I22" s="125">
        <f t="shared" si="5"/>
        <v>202987.98</v>
      </c>
      <c r="J22" s="202">
        <f t="shared" si="0"/>
        <v>400550.4</v>
      </c>
      <c r="K22" s="202">
        <f t="shared" si="1"/>
        <v>253726.30000000002</v>
      </c>
      <c r="L22" s="203">
        <f t="shared" si="2"/>
        <v>146824.1</v>
      </c>
      <c r="M22" s="204">
        <v>690346.11</v>
      </c>
      <c r="N22" s="205">
        <f t="shared" si="3"/>
        <v>436619.80999999994</v>
      </c>
      <c r="O22" s="58">
        <v>2038</v>
      </c>
    </row>
    <row r="23" spans="1:15" ht="12.75">
      <c r="A23" s="58">
        <v>2039</v>
      </c>
      <c r="B23" s="123">
        <v>36116.58</v>
      </c>
      <c r="C23" s="124">
        <v>86455.92</v>
      </c>
      <c r="D23" s="60">
        <v>81678.08</v>
      </c>
      <c r="E23" s="60">
        <v>24576.03</v>
      </c>
      <c r="F23" s="60">
        <v>78678.08</v>
      </c>
      <c r="G23" s="60">
        <v>27756.03</v>
      </c>
      <c r="H23" s="201">
        <f t="shared" si="4"/>
        <v>246812.08000000002</v>
      </c>
      <c r="I23" s="125">
        <f t="shared" si="5"/>
        <v>138787.97999999998</v>
      </c>
      <c r="J23" s="202">
        <f t="shared" si="0"/>
        <v>282928.66000000003</v>
      </c>
      <c r="K23" s="202">
        <f t="shared" si="1"/>
        <v>174904.56</v>
      </c>
      <c r="L23" s="203">
        <f t="shared" si="2"/>
        <v>108024.10000000003</v>
      </c>
      <c r="M23" s="204">
        <v>574426.11</v>
      </c>
      <c r="N23" s="205">
        <f t="shared" si="3"/>
        <v>399521.55</v>
      </c>
      <c r="O23" s="58">
        <v>2039</v>
      </c>
    </row>
    <row r="24" spans="1:15" ht="12.75">
      <c r="A24" s="58">
        <v>2040</v>
      </c>
      <c r="B24" s="123">
        <v>21568.85</v>
      </c>
      <c r="C24" s="124">
        <v>47512.94</v>
      </c>
      <c r="D24" s="60">
        <v>51678.08</v>
      </c>
      <c r="E24" s="60">
        <v>14025.4</v>
      </c>
      <c r="F24" s="60">
        <v>48678.08</v>
      </c>
      <c r="G24" s="60">
        <v>17214.11</v>
      </c>
      <c r="H24" s="201">
        <f t="shared" si="4"/>
        <v>147869.1</v>
      </c>
      <c r="I24" s="125">
        <f t="shared" si="5"/>
        <v>78752.45000000001</v>
      </c>
      <c r="J24" s="202">
        <f t="shared" si="0"/>
        <v>169437.95</v>
      </c>
      <c r="K24" s="202">
        <f t="shared" si="1"/>
        <v>100321.30000000002</v>
      </c>
      <c r="L24" s="203">
        <f t="shared" si="2"/>
        <v>69116.65</v>
      </c>
      <c r="M24" s="204">
        <v>462616.74</v>
      </c>
      <c r="N24" s="205">
        <f t="shared" si="3"/>
        <v>362295.43999999994</v>
      </c>
      <c r="O24" s="58">
        <v>2040</v>
      </c>
    </row>
    <row r="25" spans="1:15" ht="12.75">
      <c r="A25" s="58">
        <v>2041</v>
      </c>
      <c r="B25" s="123">
        <v>7714.86</v>
      </c>
      <c r="C25" s="124">
        <v>17080.48</v>
      </c>
      <c r="D25" s="60">
        <v>20545.89</v>
      </c>
      <c r="E25" s="137">
        <v>3525.59</v>
      </c>
      <c r="F25" s="60">
        <v>18678.08</v>
      </c>
      <c r="G25" s="60">
        <v>6556.02</v>
      </c>
      <c r="H25" s="201">
        <f t="shared" si="4"/>
        <v>56304.45</v>
      </c>
      <c r="I25" s="125">
        <f t="shared" si="5"/>
        <v>27162.09</v>
      </c>
      <c r="J25" s="202">
        <f t="shared" si="0"/>
        <v>64019.31</v>
      </c>
      <c r="K25" s="202">
        <f t="shared" si="1"/>
        <v>34876.95</v>
      </c>
      <c r="L25" s="203">
        <f t="shared" si="2"/>
        <v>29142.36</v>
      </c>
      <c r="M25" s="204">
        <v>360444.76</v>
      </c>
      <c r="N25" s="205">
        <f t="shared" si="3"/>
        <v>325567.81</v>
      </c>
      <c r="O25" s="58">
        <v>2041</v>
      </c>
    </row>
    <row r="26" spans="1:14" ht="12.75">
      <c r="A26" s="144"/>
      <c r="B26" s="145">
        <v>13559155.129999999</v>
      </c>
      <c r="C26" s="125">
        <v>6023632.37</v>
      </c>
      <c r="D26" s="125">
        <v>6574607.850000001</v>
      </c>
      <c r="E26" s="88">
        <f>SUM(E5:E25)</f>
        <v>2252330.5101369857</v>
      </c>
      <c r="F26" s="125">
        <v>3651780.8200000008</v>
      </c>
      <c r="G26" s="125">
        <f>SUM(G5:G25)</f>
        <v>1297604.1199999999</v>
      </c>
      <c r="H26" s="206">
        <f t="shared" si="4"/>
        <v>16250021.040000001</v>
      </c>
      <c r="I26" s="147">
        <v>9591519.9127779</v>
      </c>
      <c r="J26" s="207">
        <f t="shared" si="0"/>
        <v>29809176.17</v>
      </c>
      <c r="K26" s="207">
        <f t="shared" si="1"/>
        <v>23150675.0427779</v>
      </c>
      <c r="L26" s="208">
        <f t="shared" si="2"/>
        <v>6658501.127222102</v>
      </c>
      <c r="M26" s="125">
        <f>SUM(M5:M25)</f>
        <v>34037874.349999994</v>
      </c>
      <c r="N26" s="205">
        <f t="shared" si="3"/>
        <v>10887199.307222094</v>
      </c>
    </row>
    <row r="27" spans="1:14" ht="12.75">
      <c r="A27" s="11"/>
      <c r="B27" s="154"/>
      <c r="C27" s="188"/>
      <c r="D27" s="133"/>
      <c r="E27" s="133"/>
      <c r="F27" s="133"/>
      <c r="G27" s="133"/>
      <c r="H27" s="133"/>
      <c r="I27" s="133"/>
      <c r="J27" s="133"/>
      <c r="K27" s="133"/>
      <c r="L27" s="188"/>
      <c r="M27" s="188"/>
      <c r="N27" s="188"/>
    </row>
  </sheetData>
  <sheetProtection selectLockedCells="1" selectUnlockedCells="1"/>
  <mergeCells count="2">
    <mergeCell ref="D1:D2"/>
    <mergeCell ref="F1:F2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7"/>
  <sheetViews>
    <sheetView zoomScaleSheetLayoutView="100" zoomScalePageLayoutView="0" workbookViewId="0" topLeftCell="A7">
      <selection activeCell="N40" sqref="N40"/>
    </sheetView>
  </sheetViews>
  <sheetFormatPr defaultColWidth="9.140625" defaultRowHeight="12.75"/>
  <cols>
    <col min="1" max="1" width="7.140625" style="1" customWidth="1"/>
    <col min="2" max="2" width="12.28125" style="1" customWidth="1"/>
    <col min="3" max="3" width="11.28125" style="1" customWidth="1"/>
    <col min="4" max="4" width="12.28125" style="1" customWidth="1"/>
    <col min="5" max="5" width="10.8515625" style="1" customWidth="1"/>
    <col min="6" max="6" width="10.7109375" style="1" customWidth="1"/>
    <col min="7" max="7" width="12.00390625" style="1" customWidth="1"/>
    <col min="8" max="8" width="13.00390625" style="1" customWidth="1"/>
    <col min="9" max="9" width="16.421875" style="1" customWidth="1"/>
    <col min="10" max="11" width="12.57421875" style="1" customWidth="1"/>
    <col min="12" max="12" width="14.00390625" style="1" customWidth="1"/>
    <col min="13" max="13" width="12.7109375" style="1" hidden="1" customWidth="1"/>
    <col min="14" max="16" width="12.7109375" style="1" customWidth="1"/>
    <col min="17" max="17" width="13.57421875" style="1" customWidth="1"/>
    <col min="18" max="18" width="13.421875" style="1" customWidth="1"/>
    <col min="19" max="19" width="13.7109375" style="1" customWidth="1"/>
    <col min="20" max="20" width="12.421875" style="1" customWidth="1"/>
    <col min="21" max="21" width="13.7109375" style="1" customWidth="1"/>
    <col min="22" max="23" width="13.57421875" style="1" customWidth="1"/>
    <col min="24" max="24" width="11.8515625" style="1" customWidth="1"/>
    <col min="25" max="25" width="15.140625" style="1" customWidth="1"/>
    <col min="26" max="26" width="13.140625" style="1" customWidth="1"/>
    <col min="27" max="27" width="11.8515625" style="1" customWidth="1"/>
    <col min="28" max="28" width="10.421875" style="1" customWidth="1"/>
    <col min="29" max="16384" width="9.140625" style="1" customWidth="1"/>
  </cols>
  <sheetData>
    <row r="1" spans="3:17" ht="21">
      <c r="C1" s="846" t="s">
        <v>84</v>
      </c>
      <c r="D1" s="846"/>
      <c r="E1" s="846"/>
      <c r="F1" s="846"/>
      <c r="G1" s="846"/>
      <c r="H1" s="179" t="s">
        <v>1</v>
      </c>
      <c r="I1" s="180"/>
      <c r="L1" s="847" t="s">
        <v>2</v>
      </c>
      <c r="M1" s="847"/>
      <c r="N1" s="847"/>
      <c r="O1" s="847"/>
      <c r="P1" s="847"/>
      <c r="Q1" s="847"/>
    </row>
    <row r="2" spans="18:27" ht="11.25">
      <c r="R2" s="3"/>
      <c r="S2" s="3"/>
      <c r="T2" s="4"/>
      <c r="U2" s="5"/>
      <c r="AA2" s="6"/>
    </row>
    <row r="3" spans="1:21" ht="33.75" customHeight="1">
      <c r="A3" s="848" t="s">
        <v>3</v>
      </c>
      <c r="B3" s="848"/>
      <c r="C3" s="7" t="s">
        <v>4</v>
      </c>
      <c r="D3" s="8" t="s">
        <v>4</v>
      </c>
      <c r="E3" s="8" t="s">
        <v>4</v>
      </c>
      <c r="F3" s="9" t="s">
        <v>4</v>
      </c>
      <c r="G3" s="10"/>
      <c r="H3" s="10"/>
      <c r="I3" s="10"/>
      <c r="J3" s="10"/>
      <c r="K3" s="7" t="s">
        <v>4</v>
      </c>
      <c r="L3" s="8"/>
      <c r="M3" s="9" t="s">
        <v>4</v>
      </c>
      <c r="P3" s="9" t="s">
        <v>4</v>
      </c>
      <c r="R3" s="3"/>
      <c r="S3" s="3"/>
      <c r="T3" s="4"/>
      <c r="U3" s="5"/>
    </row>
    <row r="4" spans="2:21" ht="11.25">
      <c r="B4" s="849"/>
      <c r="C4" s="849"/>
      <c r="D4" s="849"/>
      <c r="E4" s="849"/>
      <c r="F4" s="849"/>
      <c r="R4" s="3"/>
      <c r="S4" s="3"/>
      <c r="T4" s="4"/>
      <c r="U4" s="5"/>
    </row>
    <row r="5" spans="1:16" ht="11.25">
      <c r="A5" s="11" t="s">
        <v>5</v>
      </c>
      <c r="B5" s="11">
        <v>0.65</v>
      </c>
      <c r="C5" s="11">
        <v>2.4</v>
      </c>
      <c r="D5" s="11">
        <v>0.87</v>
      </c>
      <c r="E5" s="11">
        <v>4.22</v>
      </c>
      <c r="F5" s="11">
        <v>4.22</v>
      </c>
      <c r="G5" s="11">
        <v>1.5</v>
      </c>
      <c r="H5" s="11">
        <v>0.9</v>
      </c>
      <c r="I5" s="11">
        <v>1.4</v>
      </c>
      <c r="J5" s="11">
        <v>1.2</v>
      </c>
      <c r="K5" s="12">
        <v>1.64</v>
      </c>
      <c r="M5" s="12">
        <v>1.89</v>
      </c>
      <c r="N5" s="181">
        <v>0.85</v>
      </c>
      <c r="O5" s="181">
        <v>0.85</v>
      </c>
      <c r="P5" s="12">
        <v>1.89</v>
      </c>
    </row>
    <row r="6" spans="1:16" ht="22.5">
      <c r="A6" s="14" t="s">
        <v>6</v>
      </c>
      <c r="B6" s="11">
        <f>0.65+0.68</f>
        <v>1.33</v>
      </c>
      <c r="C6" s="11">
        <f>2.4+0.68</f>
        <v>3.08</v>
      </c>
      <c r="D6" s="11">
        <f>0.87+0.68</f>
        <v>1.55</v>
      </c>
      <c r="E6" s="11">
        <f>4.22+0.68</f>
        <v>4.8999999999999995</v>
      </c>
      <c r="F6" s="11">
        <f>4.22+0.68</f>
        <v>4.8999999999999995</v>
      </c>
      <c r="G6" s="11">
        <f>1.5+0.69</f>
        <v>2.19</v>
      </c>
      <c r="H6" s="11">
        <f>0.9+0.69</f>
        <v>1.5899999999999999</v>
      </c>
      <c r="I6" s="11">
        <f>1.4+0.69</f>
        <v>2.09</v>
      </c>
      <c r="J6" s="11">
        <f>1.2+0.69</f>
        <v>1.89</v>
      </c>
      <c r="K6" s="15">
        <v>1.9</v>
      </c>
      <c r="M6" s="15">
        <f>1.89+0.26</f>
        <v>2.15</v>
      </c>
      <c r="N6" s="182">
        <v>0.0021</v>
      </c>
      <c r="O6" s="182">
        <v>0.0085</v>
      </c>
      <c r="P6" s="15">
        <f>1.89+0.26</f>
        <v>2.15</v>
      </c>
    </row>
    <row r="7" spans="1:23" ht="15">
      <c r="A7" s="17" t="s">
        <v>7</v>
      </c>
      <c r="C7" s="850" t="s">
        <v>8</v>
      </c>
      <c r="D7" s="850"/>
      <c r="E7" s="850"/>
      <c r="F7" s="850"/>
      <c r="G7" s="851" t="s">
        <v>9</v>
      </c>
      <c r="H7" s="851"/>
      <c r="I7" s="851"/>
      <c r="J7" s="851"/>
      <c r="K7" s="852" t="s">
        <v>10</v>
      </c>
      <c r="L7" s="852"/>
      <c r="M7" s="852"/>
      <c r="N7" s="18">
        <v>0.03</v>
      </c>
      <c r="O7" s="18">
        <v>0.03</v>
      </c>
      <c r="P7" s="18"/>
      <c r="W7" s="1" t="s">
        <v>11</v>
      </c>
    </row>
    <row r="8" spans="1:21" ht="11.25">
      <c r="A8" s="19"/>
      <c r="B8" s="20">
        <v>5</v>
      </c>
      <c r="C8" s="20">
        <v>10</v>
      </c>
      <c r="D8" s="20">
        <v>11</v>
      </c>
      <c r="E8" s="20">
        <v>12</v>
      </c>
      <c r="F8" s="20">
        <v>13</v>
      </c>
      <c r="G8" s="20">
        <v>14</v>
      </c>
      <c r="H8" s="20">
        <v>15</v>
      </c>
      <c r="I8" s="20">
        <v>16</v>
      </c>
      <c r="J8" s="20">
        <v>17</v>
      </c>
      <c r="K8" s="20">
        <v>18</v>
      </c>
      <c r="L8" s="21">
        <v>19</v>
      </c>
      <c r="M8" s="20">
        <v>20</v>
      </c>
      <c r="N8" s="20">
        <v>21</v>
      </c>
      <c r="O8" s="20">
        <v>22</v>
      </c>
      <c r="P8" s="20">
        <v>20</v>
      </c>
      <c r="Q8" s="20">
        <v>23</v>
      </c>
      <c r="R8" s="22">
        <v>24</v>
      </c>
      <c r="S8" s="23" t="s">
        <v>12</v>
      </c>
      <c r="T8" s="24"/>
      <c r="U8" s="25">
        <v>24</v>
      </c>
    </row>
    <row r="9" spans="1:21" ht="44.25" customHeight="1">
      <c r="A9" s="26" t="s">
        <v>13</v>
      </c>
      <c r="B9" s="27" t="s">
        <v>14</v>
      </c>
      <c r="C9" s="28" t="s">
        <v>15</v>
      </c>
      <c r="D9" s="28" t="s">
        <v>16</v>
      </c>
      <c r="E9" s="27" t="s">
        <v>17</v>
      </c>
      <c r="F9" s="29" t="s">
        <v>18</v>
      </c>
      <c r="G9" s="30" t="s">
        <v>19</v>
      </c>
      <c r="H9" s="31" t="s">
        <v>20</v>
      </c>
      <c r="I9" s="31" t="s">
        <v>21</v>
      </c>
      <c r="J9" s="32" t="s">
        <v>22</v>
      </c>
      <c r="K9" s="33" t="s">
        <v>23</v>
      </c>
      <c r="L9" s="34" t="s">
        <v>24</v>
      </c>
      <c r="M9" s="35" t="s">
        <v>25</v>
      </c>
      <c r="N9" s="36" t="s">
        <v>26</v>
      </c>
      <c r="O9" s="36" t="s">
        <v>27</v>
      </c>
      <c r="P9" s="35" t="s">
        <v>72</v>
      </c>
      <c r="Q9" s="37" t="s">
        <v>28</v>
      </c>
      <c r="R9" s="38" t="s">
        <v>29</v>
      </c>
      <c r="S9" s="39" t="s">
        <v>30</v>
      </c>
      <c r="T9" s="40" t="s">
        <v>31</v>
      </c>
      <c r="U9" s="41" t="s">
        <v>13</v>
      </c>
    </row>
    <row r="10" spans="1:24" ht="11.25">
      <c r="A10" s="42">
        <v>2020</v>
      </c>
      <c r="B10" s="43">
        <v>1102991</v>
      </c>
      <c r="C10" s="43">
        <f>30000</f>
        <v>30000</v>
      </c>
      <c r="D10" s="43">
        <v>0</v>
      </c>
      <c r="E10" s="43">
        <v>94500</v>
      </c>
      <c r="F10" s="44">
        <v>94500</v>
      </c>
      <c r="G10" s="45">
        <v>2000000</v>
      </c>
      <c r="H10" s="43"/>
      <c r="I10" s="43">
        <v>875000</v>
      </c>
      <c r="J10" s="46"/>
      <c r="K10" s="47"/>
      <c r="L10" s="48">
        <f aca="true" t="shared" si="0" ref="L10:L31">SUM(B10:K10)</f>
        <v>4196991</v>
      </c>
      <c r="M10" s="49"/>
      <c r="N10" s="50"/>
      <c r="O10" s="50"/>
      <c r="P10" s="49"/>
      <c r="Q10" s="51">
        <f>SUM(M10:M10)</f>
        <v>0</v>
      </c>
      <c r="R10" s="52">
        <v>9068982</v>
      </c>
      <c r="S10" s="53">
        <v>9068982</v>
      </c>
      <c r="T10" s="54">
        <v>0</v>
      </c>
      <c r="U10" s="55">
        <v>2020</v>
      </c>
      <c r="V10" s="56"/>
      <c r="W10" s="57" t="s">
        <v>32</v>
      </c>
      <c r="X10" s="6"/>
    </row>
    <row r="11" spans="1:23" ht="11.25">
      <c r="A11" s="58">
        <v>2021</v>
      </c>
      <c r="B11" s="59"/>
      <c r="C11" s="59">
        <v>900000</v>
      </c>
      <c r="D11" s="59">
        <f>727000*2</f>
        <v>1454000</v>
      </c>
      <c r="E11" s="124">
        <f>126000+618000</f>
        <v>744000</v>
      </c>
      <c r="F11" s="209">
        <f>126000+653591</f>
        <v>779591</v>
      </c>
      <c r="G11" s="62">
        <f>1000000-1000000</f>
        <v>0</v>
      </c>
      <c r="H11" s="59"/>
      <c r="I11" s="59">
        <v>3375000</v>
      </c>
      <c r="J11" s="63"/>
      <c r="K11" s="64">
        <f>13695.64+7304.36</f>
        <v>21000</v>
      </c>
      <c r="L11" s="48">
        <f t="shared" si="0"/>
        <v>7273591</v>
      </c>
      <c r="M11" s="65"/>
      <c r="N11" s="66"/>
      <c r="O11" s="66"/>
      <c r="P11" s="65"/>
      <c r="Q11" s="67">
        <f aca="true" t="shared" si="1" ref="Q11:Q31">SUM(N11:P11)</f>
        <v>0</v>
      </c>
      <c r="R11" s="52">
        <f aca="true" t="shared" si="2" ref="R11:R32">L11+Q11</f>
        <v>7273591</v>
      </c>
      <c r="S11" s="68">
        <v>5103000</v>
      </c>
      <c r="T11" s="69">
        <f aca="true" t="shared" si="3" ref="T11:T31">S11-R11</f>
        <v>-2170591</v>
      </c>
      <c r="U11" s="70">
        <v>2021</v>
      </c>
      <c r="V11" s="1" t="s">
        <v>33</v>
      </c>
      <c r="W11" s="11" t="s">
        <v>34</v>
      </c>
    </row>
    <row r="12" spans="1:23" ht="11.25">
      <c r="A12" s="58">
        <v>2022</v>
      </c>
      <c r="B12" s="43"/>
      <c r="C12" s="43"/>
      <c r="D12" s="59"/>
      <c r="E12" s="43">
        <v>0</v>
      </c>
      <c r="F12" s="44">
        <v>0</v>
      </c>
      <c r="G12" s="45">
        <f>1000000+1000000</f>
        <v>2000000</v>
      </c>
      <c r="H12" s="43"/>
      <c r="I12" s="43"/>
      <c r="J12" s="46"/>
      <c r="K12" s="47">
        <v>15000</v>
      </c>
      <c r="L12" s="48">
        <f t="shared" si="0"/>
        <v>2015000</v>
      </c>
      <c r="M12" s="65"/>
      <c r="N12" s="66">
        <v>50000</v>
      </c>
      <c r="O12" s="66"/>
      <c r="P12" s="65"/>
      <c r="Q12" s="67">
        <f t="shared" si="1"/>
        <v>50000</v>
      </c>
      <c r="R12" s="52">
        <f t="shared" si="2"/>
        <v>2065000</v>
      </c>
      <c r="S12" s="68">
        <v>2016000</v>
      </c>
      <c r="T12" s="69">
        <f t="shared" si="3"/>
        <v>-49000</v>
      </c>
      <c r="U12" s="70">
        <v>2022</v>
      </c>
      <c r="V12" s="1" t="s">
        <v>33</v>
      </c>
      <c r="W12" s="11"/>
    </row>
    <row r="13" spans="1:23" ht="11.25">
      <c r="A13" s="58">
        <v>2023</v>
      </c>
      <c r="B13" s="43"/>
      <c r="C13" s="43"/>
      <c r="D13" s="59">
        <f>2908759-1454000</f>
        <v>1454759</v>
      </c>
      <c r="E13" s="43"/>
      <c r="F13" s="44"/>
      <c r="G13" s="45">
        <v>2000000</v>
      </c>
      <c r="H13" s="43"/>
      <c r="I13" s="43"/>
      <c r="J13" s="46"/>
      <c r="K13" s="47">
        <v>23478.28</v>
      </c>
      <c r="L13" s="48">
        <f t="shared" si="0"/>
        <v>3478237.28</v>
      </c>
      <c r="M13" s="65"/>
      <c r="N13" s="66">
        <v>100000</v>
      </c>
      <c r="O13" s="66">
        <v>200000</v>
      </c>
      <c r="P13" s="65">
        <f>100000</f>
        <v>100000</v>
      </c>
      <c r="Q13" s="67">
        <f t="shared" si="1"/>
        <v>400000</v>
      </c>
      <c r="R13" s="52">
        <f t="shared" si="2"/>
        <v>3878237.28</v>
      </c>
      <c r="S13" s="68">
        <v>4931237.28</v>
      </c>
      <c r="T13" s="69">
        <f t="shared" si="3"/>
        <v>1053000.0000000005</v>
      </c>
      <c r="U13" s="70">
        <v>2023</v>
      </c>
      <c r="V13" s="1" t="s">
        <v>33</v>
      </c>
      <c r="W13" s="11"/>
    </row>
    <row r="14" spans="1:23" ht="11.25">
      <c r="A14" s="58">
        <v>2024</v>
      </c>
      <c r="B14" s="43"/>
      <c r="C14" s="43"/>
      <c r="D14" s="43"/>
      <c r="E14" s="43"/>
      <c r="F14" s="44"/>
      <c r="G14" s="45">
        <v>1500000</v>
      </c>
      <c r="H14" s="43">
        <v>2500000</v>
      </c>
      <c r="I14" s="43">
        <f>1875000</f>
        <v>1875000</v>
      </c>
      <c r="J14" s="46"/>
      <c r="K14" s="47">
        <v>65217.4</v>
      </c>
      <c r="L14" s="48">
        <f t="shared" si="0"/>
        <v>5940217.4</v>
      </c>
      <c r="M14" s="65"/>
      <c r="N14" s="66">
        <v>150000</v>
      </c>
      <c r="O14" s="66">
        <v>200000</v>
      </c>
      <c r="P14" s="65">
        <f>100000</f>
        <v>100000</v>
      </c>
      <c r="Q14" s="67">
        <f t="shared" si="1"/>
        <v>450000</v>
      </c>
      <c r="R14" s="52">
        <f t="shared" si="2"/>
        <v>6390217.4</v>
      </c>
      <c r="S14" s="68">
        <v>6543217.4</v>
      </c>
      <c r="T14" s="69">
        <f t="shared" si="3"/>
        <v>153000</v>
      </c>
      <c r="U14" s="70">
        <v>2024</v>
      </c>
      <c r="W14" s="11" t="s">
        <v>35</v>
      </c>
    </row>
    <row r="15" spans="1:23" ht="11.25">
      <c r="A15" s="58">
        <v>2025</v>
      </c>
      <c r="B15" s="43"/>
      <c r="C15" s="43"/>
      <c r="D15" s="43"/>
      <c r="E15" s="43"/>
      <c r="F15" s="44"/>
      <c r="G15" s="45"/>
      <c r="H15" s="43">
        <v>2500000</v>
      </c>
      <c r="I15" s="43">
        <f>1875000</f>
        <v>1875000</v>
      </c>
      <c r="J15" s="46"/>
      <c r="K15" s="47">
        <v>65217.4</v>
      </c>
      <c r="L15" s="48">
        <f t="shared" si="0"/>
        <v>4440217.4</v>
      </c>
      <c r="M15" s="65"/>
      <c r="N15" s="66">
        <v>150000</v>
      </c>
      <c r="O15" s="66">
        <v>200000</v>
      </c>
      <c r="P15" s="65">
        <f>200000</f>
        <v>200000</v>
      </c>
      <c r="Q15" s="67">
        <f t="shared" si="1"/>
        <v>550000</v>
      </c>
      <c r="R15" s="52">
        <f t="shared" si="2"/>
        <v>4990217.4</v>
      </c>
      <c r="S15" s="68">
        <v>5044217.4</v>
      </c>
      <c r="T15" s="69">
        <f t="shared" si="3"/>
        <v>54000</v>
      </c>
      <c r="U15" s="70">
        <v>2025</v>
      </c>
      <c r="W15" s="11" t="s">
        <v>36</v>
      </c>
    </row>
    <row r="16" spans="1:23" ht="11.25">
      <c r="A16" s="58">
        <v>2026</v>
      </c>
      <c r="B16" s="43"/>
      <c r="C16" s="43"/>
      <c r="D16" s="43"/>
      <c r="E16" s="43"/>
      <c r="F16" s="44"/>
      <c r="G16" s="45"/>
      <c r="H16" s="43">
        <v>2500000</v>
      </c>
      <c r="I16" s="43">
        <v>1875000</v>
      </c>
      <c r="J16" s="46"/>
      <c r="K16" s="47">
        <v>65217.4</v>
      </c>
      <c r="L16" s="48">
        <f t="shared" si="0"/>
        <v>4440217.4</v>
      </c>
      <c r="M16" s="65"/>
      <c r="N16" s="66">
        <v>200000</v>
      </c>
      <c r="O16" s="66">
        <v>200000</v>
      </c>
      <c r="P16" s="65">
        <f>200000</f>
        <v>200000</v>
      </c>
      <c r="Q16" s="67">
        <f t="shared" si="1"/>
        <v>600000</v>
      </c>
      <c r="R16" s="52">
        <f t="shared" si="2"/>
        <v>5040217.4</v>
      </c>
      <c r="S16" s="68">
        <v>5096217.4</v>
      </c>
      <c r="T16" s="69">
        <f t="shared" si="3"/>
        <v>56000</v>
      </c>
      <c r="U16" s="70">
        <v>2026</v>
      </c>
      <c r="W16" s="11" t="s">
        <v>37</v>
      </c>
    </row>
    <row r="17" spans="1:23" ht="11.25">
      <c r="A17" s="58">
        <v>2027</v>
      </c>
      <c r="B17" s="43"/>
      <c r="C17" s="43"/>
      <c r="D17" s="43"/>
      <c r="E17" s="43"/>
      <c r="F17" s="44"/>
      <c r="G17" s="45"/>
      <c r="H17" s="43">
        <v>2500000</v>
      </c>
      <c r="I17" s="43">
        <v>2000000</v>
      </c>
      <c r="J17" s="46">
        <v>1875000</v>
      </c>
      <c r="K17" s="47">
        <v>293478.28</v>
      </c>
      <c r="L17" s="48">
        <f t="shared" si="0"/>
        <v>6668478.28</v>
      </c>
      <c r="M17" s="65"/>
      <c r="N17" s="66">
        <v>200000</v>
      </c>
      <c r="O17" s="66">
        <v>200000</v>
      </c>
      <c r="P17" s="65">
        <f>200000</f>
        <v>200000</v>
      </c>
      <c r="Q17" s="67">
        <f t="shared" si="1"/>
        <v>600000</v>
      </c>
      <c r="R17" s="52">
        <f t="shared" si="2"/>
        <v>7268478.28</v>
      </c>
      <c r="S17" s="68">
        <v>7337069.28</v>
      </c>
      <c r="T17" s="69">
        <f t="shared" si="3"/>
        <v>68591</v>
      </c>
      <c r="U17" s="70">
        <v>2027</v>
      </c>
      <c r="W17" s="72" t="s">
        <v>38</v>
      </c>
    </row>
    <row r="18" spans="1:23" ht="11.25">
      <c r="A18" s="58">
        <v>2028</v>
      </c>
      <c r="B18" s="43"/>
      <c r="C18" s="43"/>
      <c r="D18" s="43"/>
      <c r="E18" s="43"/>
      <c r="F18" s="44"/>
      <c r="G18" s="45"/>
      <c r="H18" s="43"/>
      <c r="I18" s="43">
        <v>2000000</v>
      </c>
      <c r="J18" s="46">
        <v>5100000</v>
      </c>
      <c r="K18" s="47">
        <v>293478.28</v>
      </c>
      <c r="L18" s="48">
        <f t="shared" si="0"/>
        <v>7393478.28</v>
      </c>
      <c r="M18" s="65"/>
      <c r="N18" s="66">
        <v>350000</v>
      </c>
      <c r="O18" s="66">
        <v>500000</v>
      </c>
      <c r="P18" s="65">
        <f>14000+52000+50000+50000</f>
        <v>166000</v>
      </c>
      <c r="Q18" s="67">
        <f t="shared" si="1"/>
        <v>1016000</v>
      </c>
      <c r="R18" s="52">
        <f t="shared" si="2"/>
        <v>8409478.280000001</v>
      </c>
      <c r="S18" s="68">
        <v>8257478.28</v>
      </c>
      <c r="T18" s="69">
        <f t="shared" si="3"/>
        <v>-152000.00000000093</v>
      </c>
      <c r="U18" s="70">
        <v>2028</v>
      </c>
      <c r="W18" s="72" t="s">
        <v>39</v>
      </c>
    </row>
    <row r="19" spans="1:23" ht="11.25">
      <c r="A19" s="58">
        <v>2029</v>
      </c>
      <c r="B19" s="43"/>
      <c r="C19" s="43"/>
      <c r="D19" s="43"/>
      <c r="E19" s="43"/>
      <c r="F19" s="44"/>
      <c r="G19" s="45"/>
      <c r="H19" s="43"/>
      <c r="I19" s="43">
        <v>1375000</v>
      </c>
      <c r="J19" s="46">
        <v>5100000</v>
      </c>
      <c r="K19" s="47">
        <v>652173.92</v>
      </c>
      <c r="L19" s="48">
        <f t="shared" si="0"/>
        <v>7127173.92</v>
      </c>
      <c r="M19" s="65"/>
      <c r="N19" s="66">
        <v>1000000</v>
      </c>
      <c r="O19" s="66">
        <v>500000</v>
      </c>
      <c r="P19" s="65">
        <f>20000+56000+50000+71000</f>
        <v>197000</v>
      </c>
      <c r="Q19" s="67">
        <f t="shared" si="1"/>
        <v>1697000</v>
      </c>
      <c r="R19" s="52">
        <f t="shared" si="2"/>
        <v>8824173.92</v>
      </c>
      <c r="S19" s="68">
        <v>8647173.92</v>
      </c>
      <c r="T19" s="69">
        <f t="shared" si="3"/>
        <v>-177000</v>
      </c>
      <c r="U19" s="70">
        <v>2029</v>
      </c>
      <c r="W19" s="72" t="s">
        <v>40</v>
      </c>
    </row>
    <row r="20" spans="1:23" ht="11.25">
      <c r="A20" s="58">
        <v>2030</v>
      </c>
      <c r="B20" s="43"/>
      <c r="C20" s="43"/>
      <c r="D20" s="43"/>
      <c r="E20" s="43"/>
      <c r="F20" s="44"/>
      <c r="G20" s="45"/>
      <c r="H20" s="43"/>
      <c r="I20" s="43">
        <v>1375000</v>
      </c>
      <c r="J20" s="46">
        <v>5323000</v>
      </c>
      <c r="K20" s="47">
        <v>652173.92</v>
      </c>
      <c r="L20" s="48">
        <f t="shared" si="0"/>
        <v>7350173.92</v>
      </c>
      <c r="M20" s="65"/>
      <c r="N20" s="66">
        <v>1000000</v>
      </c>
      <c r="O20" s="66">
        <v>500000</v>
      </c>
      <c r="P20" s="65">
        <f>20000+53000+50000</f>
        <v>123000</v>
      </c>
      <c r="Q20" s="67">
        <f t="shared" si="1"/>
        <v>1623000</v>
      </c>
      <c r="R20" s="52">
        <f t="shared" si="2"/>
        <v>8973173.92</v>
      </c>
      <c r="S20" s="68">
        <v>8870173.92</v>
      </c>
      <c r="T20" s="69">
        <f t="shared" si="3"/>
        <v>-103000</v>
      </c>
      <c r="U20" s="70">
        <v>2030</v>
      </c>
      <c r="W20" s="72" t="s">
        <v>41</v>
      </c>
    </row>
    <row r="21" spans="1:21" ht="11.25">
      <c r="A21" s="58">
        <v>2031</v>
      </c>
      <c r="B21" s="43"/>
      <c r="C21" s="43"/>
      <c r="D21" s="43"/>
      <c r="E21" s="43"/>
      <c r="F21" s="44"/>
      <c r="G21" s="45"/>
      <c r="H21" s="43"/>
      <c r="I21" s="43">
        <v>0</v>
      </c>
      <c r="J21" s="46">
        <v>5700000</v>
      </c>
      <c r="K21" s="47">
        <v>652173.92</v>
      </c>
      <c r="L21" s="48">
        <f t="shared" si="0"/>
        <v>6352173.92</v>
      </c>
      <c r="M21" s="65"/>
      <c r="N21" s="66">
        <v>1000000</v>
      </c>
      <c r="O21" s="66">
        <v>500000</v>
      </c>
      <c r="P21" s="65">
        <f>90000+52000</f>
        <v>142000</v>
      </c>
      <c r="Q21" s="67">
        <f t="shared" si="1"/>
        <v>1642000</v>
      </c>
      <c r="R21" s="52">
        <f t="shared" si="2"/>
        <v>7994173.92</v>
      </c>
      <c r="S21" s="68">
        <v>7942173.92</v>
      </c>
      <c r="T21" s="69">
        <f t="shared" si="3"/>
        <v>-52000</v>
      </c>
      <c r="U21" s="70">
        <v>2031</v>
      </c>
    </row>
    <row r="22" spans="1:21" ht="11.25">
      <c r="A22" s="58">
        <v>2032</v>
      </c>
      <c r="B22" s="43"/>
      <c r="C22" s="43"/>
      <c r="D22" s="43"/>
      <c r="E22" s="43"/>
      <c r="F22" s="44"/>
      <c r="G22" s="45"/>
      <c r="H22" s="43"/>
      <c r="I22" s="43"/>
      <c r="J22" s="46">
        <v>1941000</v>
      </c>
      <c r="K22" s="73">
        <v>1695652.16</v>
      </c>
      <c r="L22" s="48">
        <f t="shared" si="0"/>
        <v>3636652.16</v>
      </c>
      <c r="M22" s="65"/>
      <c r="N22" s="66">
        <v>2000000</v>
      </c>
      <c r="O22" s="66">
        <v>500000</v>
      </c>
      <c r="P22" s="65">
        <v>1000000</v>
      </c>
      <c r="Q22" s="67">
        <f t="shared" si="1"/>
        <v>3500000</v>
      </c>
      <c r="R22" s="52">
        <f t="shared" si="2"/>
        <v>7136652.16</v>
      </c>
      <c r="S22" s="68">
        <v>7136652.16</v>
      </c>
      <c r="T22" s="69">
        <f t="shared" si="3"/>
        <v>0</v>
      </c>
      <c r="U22" s="70">
        <v>2032</v>
      </c>
    </row>
    <row r="23" spans="1:21" ht="11.25">
      <c r="A23" s="58">
        <v>2033</v>
      </c>
      <c r="B23" s="43"/>
      <c r="C23" s="43"/>
      <c r="D23" s="43"/>
      <c r="E23" s="43"/>
      <c r="F23" s="44"/>
      <c r="G23" s="45"/>
      <c r="H23" s="43"/>
      <c r="I23" s="43">
        <v>0</v>
      </c>
      <c r="J23" s="46"/>
      <c r="K23" s="74">
        <v>1695652.16</v>
      </c>
      <c r="L23" s="48">
        <f t="shared" si="0"/>
        <v>1695652.16</v>
      </c>
      <c r="M23" s="65"/>
      <c r="N23" s="66">
        <v>2000000</v>
      </c>
      <c r="O23" s="66">
        <v>500000</v>
      </c>
      <c r="P23" s="65">
        <v>2000000</v>
      </c>
      <c r="Q23" s="67">
        <f t="shared" si="1"/>
        <v>4500000</v>
      </c>
      <c r="R23" s="52">
        <f t="shared" si="2"/>
        <v>6195652.16</v>
      </c>
      <c r="S23" s="68">
        <v>6195652.16</v>
      </c>
      <c r="T23" s="69">
        <f t="shared" si="3"/>
        <v>0</v>
      </c>
      <c r="U23" s="70">
        <v>2033</v>
      </c>
    </row>
    <row r="24" spans="1:21" ht="11.25">
      <c r="A24" s="58">
        <v>2034</v>
      </c>
      <c r="B24" s="43"/>
      <c r="C24" s="43"/>
      <c r="D24" s="43"/>
      <c r="E24" s="43"/>
      <c r="F24" s="44"/>
      <c r="G24" s="45"/>
      <c r="H24" s="43"/>
      <c r="I24" s="43">
        <v>0</v>
      </c>
      <c r="J24" s="46"/>
      <c r="K24" s="74">
        <v>1695652.16</v>
      </c>
      <c r="L24" s="48">
        <f t="shared" si="0"/>
        <v>1695652.16</v>
      </c>
      <c r="M24" s="65"/>
      <c r="N24" s="66">
        <v>2000000</v>
      </c>
      <c r="O24" s="66">
        <v>500000</v>
      </c>
      <c r="P24" s="65">
        <v>2000000</v>
      </c>
      <c r="Q24" s="67">
        <f t="shared" si="1"/>
        <v>4500000</v>
      </c>
      <c r="R24" s="52">
        <f t="shared" si="2"/>
        <v>6195652.16</v>
      </c>
      <c r="S24" s="68">
        <v>6195652.16</v>
      </c>
      <c r="T24" s="69">
        <f t="shared" si="3"/>
        <v>0</v>
      </c>
      <c r="U24" s="70">
        <v>2034</v>
      </c>
    </row>
    <row r="25" spans="1:21" ht="11.25">
      <c r="A25" s="58">
        <v>2035</v>
      </c>
      <c r="B25" s="43"/>
      <c r="C25" s="43"/>
      <c r="D25" s="43"/>
      <c r="E25" s="43"/>
      <c r="F25" s="44"/>
      <c r="G25" s="45"/>
      <c r="H25" s="43"/>
      <c r="I25" s="43">
        <v>0</v>
      </c>
      <c r="J25" s="46"/>
      <c r="K25" s="74">
        <v>1695652.16</v>
      </c>
      <c r="L25" s="48">
        <f t="shared" si="0"/>
        <v>1695652.16</v>
      </c>
      <c r="M25" s="65"/>
      <c r="N25" s="66">
        <v>1000000</v>
      </c>
      <c r="O25" s="66">
        <v>500000</v>
      </c>
      <c r="P25" s="65">
        <v>2000000</v>
      </c>
      <c r="Q25" s="67">
        <f t="shared" si="1"/>
        <v>3500000</v>
      </c>
      <c r="R25" s="52">
        <f t="shared" si="2"/>
        <v>5195652.16</v>
      </c>
      <c r="S25" s="68">
        <v>5195652.16</v>
      </c>
      <c r="T25" s="69">
        <f t="shared" si="3"/>
        <v>0</v>
      </c>
      <c r="U25" s="70">
        <v>2035</v>
      </c>
    </row>
    <row r="26" spans="1:21" ht="11.25">
      <c r="A26" s="58">
        <v>2036</v>
      </c>
      <c r="B26" s="43"/>
      <c r="C26" s="43"/>
      <c r="D26" s="43"/>
      <c r="E26" s="43"/>
      <c r="F26" s="44"/>
      <c r="G26" s="45"/>
      <c r="H26" s="43"/>
      <c r="I26" s="43">
        <v>0</v>
      </c>
      <c r="J26" s="46"/>
      <c r="K26" s="74">
        <v>1695652.16</v>
      </c>
      <c r="L26" s="48">
        <f t="shared" si="0"/>
        <v>1695652.16</v>
      </c>
      <c r="M26" s="65"/>
      <c r="N26" s="66">
        <v>1000000</v>
      </c>
      <c r="O26" s="66">
        <v>500000</v>
      </c>
      <c r="P26" s="65">
        <v>2000000</v>
      </c>
      <c r="Q26" s="67">
        <f t="shared" si="1"/>
        <v>3500000</v>
      </c>
      <c r="R26" s="52">
        <f t="shared" si="2"/>
        <v>5195652.16</v>
      </c>
      <c r="S26" s="68">
        <v>5195652.16</v>
      </c>
      <c r="T26" s="69">
        <f t="shared" si="3"/>
        <v>0</v>
      </c>
      <c r="U26" s="70">
        <v>2036</v>
      </c>
    </row>
    <row r="27" spans="1:25" ht="11.25">
      <c r="A27" s="58">
        <v>2037</v>
      </c>
      <c r="B27" s="43"/>
      <c r="C27" s="43"/>
      <c r="D27" s="43"/>
      <c r="E27" s="43"/>
      <c r="F27" s="44"/>
      <c r="G27" s="45"/>
      <c r="H27" s="43"/>
      <c r="I27" s="43">
        <v>0</v>
      </c>
      <c r="J27" s="46"/>
      <c r="K27" s="47">
        <v>769565.2</v>
      </c>
      <c r="L27" s="48">
        <f t="shared" si="0"/>
        <v>769565.2</v>
      </c>
      <c r="M27" s="65"/>
      <c r="N27" s="66">
        <v>1000000</v>
      </c>
      <c r="O27" s="66">
        <v>500000</v>
      </c>
      <c r="P27" s="65">
        <v>2000000</v>
      </c>
      <c r="Q27" s="67">
        <f t="shared" si="1"/>
        <v>3500000</v>
      </c>
      <c r="R27" s="52">
        <f t="shared" si="2"/>
        <v>4269565.2</v>
      </c>
      <c r="S27" s="68">
        <v>4269565.2</v>
      </c>
      <c r="T27" s="69">
        <f t="shared" si="3"/>
        <v>0</v>
      </c>
      <c r="U27" s="70">
        <v>2037</v>
      </c>
      <c r="Y27" s="5"/>
    </row>
    <row r="28" spans="1:25" ht="11.25">
      <c r="A28" s="58">
        <v>2038</v>
      </c>
      <c r="B28" s="43"/>
      <c r="C28" s="43"/>
      <c r="D28" s="43"/>
      <c r="E28" s="43"/>
      <c r="F28" s="44"/>
      <c r="G28" s="45"/>
      <c r="H28" s="43"/>
      <c r="I28" s="43">
        <v>0</v>
      </c>
      <c r="J28" s="46"/>
      <c r="K28" s="47">
        <v>769565.2</v>
      </c>
      <c r="L28" s="48">
        <f t="shared" si="0"/>
        <v>769565.2</v>
      </c>
      <c r="M28" s="65"/>
      <c r="N28" s="66">
        <v>1000000</v>
      </c>
      <c r="O28" s="66">
        <v>1000000</v>
      </c>
      <c r="P28" s="65">
        <v>2000000</v>
      </c>
      <c r="Q28" s="67">
        <f t="shared" si="1"/>
        <v>4000000</v>
      </c>
      <c r="R28" s="52">
        <f t="shared" si="2"/>
        <v>4769565.2</v>
      </c>
      <c r="S28" s="68">
        <v>4769565.2</v>
      </c>
      <c r="T28" s="69">
        <f t="shared" si="3"/>
        <v>0</v>
      </c>
      <c r="U28" s="70">
        <v>2038</v>
      </c>
      <c r="Y28" s="5"/>
    </row>
    <row r="29" spans="1:25" ht="11.25">
      <c r="A29" s="58">
        <v>2039</v>
      </c>
      <c r="B29" s="43"/>
      <c r="C29" s="43"/>
      <c r="D29" s="43"/>
      <c r="E29" s="43"/>
      <c r="F29" s="44"/>
      <c r="G29" s="45"/>
      <c r="H29" s="43"/>
      <c r="I29" s="43">
        <v>0</v>
      </c>
      <c r="J29" s="46"/>
      <c r="K29" s="47">
        <v>769565.2</v>
      </c>
      <c r="L29" s="48">
        <f t="shared" si="0"/>
        <v>769565.2</v>
      </c>
      <c r="M29" s="65"/>
      <c r="N29" s="66">
        <v>1000000</v>
      </c>
      <c r="O29" s="66">
        <v>1000000</v>
      </c>
      <c r="P29" s="65">
        <v>2000000</v>
      </c>
      <c r="Q29" s="67">
        <f t="shared" si="1"/>
        <v>4000000</v>
      </c>
      <c r="R29" s="52">
        <f t="shared" si="2"/>
        <v>4769565.2</v>
      </c>
      <c r="S29" s="68">
        <v>4769565.2</v>
      </c>
      <c r="T29" s="69">
        <f t="shared" si="3"/>
        <v>0</v>
      </c>
      <c r="U29" s="70">
        <v>2039</v>
      </c>
      <c r="Y29" s="5"/>
    </row>
    <row r="30" spans="1:21" ht="11.25">
      <c r="A30" s="58">
        <v>2040</v>
      </c>
      <c r="B30" s="43"/>
      <c r="C30" s="43"/>
      <c r="D30" s="43"/>
      <c r="E30" s="43"/>
      <c r="F30" s="44"/>
      <c r="G30" s="45"/>
      <c r="H30" s="43"/>
      <c r="I30" s="43">
        <v>0</v>
      </c>
      <c r="J30" s="46"/>
      <c r="K30" s="47">
        <v>769565.2</v>
      </c>
      <c r="L30" s="48">
        <f t="shared" si="0"/>
        <v>769565.2</v>
      </c>
      <c r="M30" s="65"/>
      <c r="N30" s="66">
        <v>1000000</v>
      </c>
      <c r="O30" s="66">
        <v>1000000</v>
      </c>
      <c r="P30" s="65">
        <v>1500000</v>
      </c>
      <c r="Q30" s="67">
        <f t="shared" si="1"/>
        <v>3500000</v>
      </c>
      <c r="R30" s="52">
        <f t="shared" si="2"/>
        <v>4269565.2</v>
      </c>
      <c r="S30" s="68">
        <v>4269565.2</v>
      </c>
      <c r="T30" s="69">
        <f t="shared" si="3"/>
        <v>0</v>
      </c>
      <c r="U30" s="70">
        <v>2040</v>
      </c>
    </row>
    <row r="31" spans="1:21" ht="11.25">
      <c r="A31" s="58">
        <v>2041</v>
      </c>
      <c r="B31" s="75"/>
      <c r="C31" s="75"/>
      <c r="D31" s="75"/>
      <c r="E31" s="75"/>
      <c r="F31" s="76"/>
      <c r="G31" s="77"/>
      <c r="H31" s="75"/>
      <c r="I31" s="75"/>
      <c r="J31" s="78"/>
      <c r="K31" s="79">
        <f>652173.96-7304.36</f>
        <v>644869.6</v>
      </c>
      <c r="L31" s="48">
        <f t="shared" si="0"/>
        <v>644869.6</v>
      </c>
      <c r="M31" s="80"/>
      <c r="N31" s="183">
        <f>1100000-306493.82-50000-43506.18</f>
        <v>699999.9999999999</v>
      </c>
      <c r="O31" s="66">
        <v>1000000</v>
      </c>
      <c r="P31" s="80">
        <f>1278000+794000</f>
        <v>2072000</v>
      </c>
      <c r="Q31" s="67">
        <f t="shared" si="1"/>
        <v>3772000</v>
      </c>
      <c r="R31" s="82">
        <f t="shared" si="2"/>
        <v>4416869.6</v>
      </c>
      <c r="S31" s="83">
        <v>3714375.78</v>
      </c>
      <c r="T31" s="69">
        <f t="shared" si="3"/>
        <v>-702493.8199999998</v>
      </c>
      <c r="U31" s="70">
        <v>2041</v>
      </c>
    </row>
    <row r="32" spans="1:25" ht="11.25">
      <c r="A32" s="84" t="s">
        <v>42</v>
      </c>
      <c r="B32" s="85">
        <f>SUM(B11:B24)</f>
        <v>0</v>
      </c>
      <c r="C32" s="86">
        <f>SUM(C11:C24)</f>
        <v>900000</v>
      </c>
      <c r="D32" s="85">
        <f>SUM(D10:D24)</f>
        <v>2908759</v>
      </c>
      <c r="E32" s="87">
        <f>SUM(E11:E24)</f>
        <v>744000</v>
      </c>
      <c r="F32" s="88">
        <f>SUM(F11:F24)</f>
        <v>779591</v>
      </c>
      <c r="G32" s="89">
        <f>SUM(G10:G24)</f>
        <v>7500000</v>
      </c>
      <c r="H32" s="85">
        <f>SUM(H10:H24)</f>
        <v>10000000</v>
      </c>
      <c r="I32" s="86">
        <f>SUM(I10:I30)</f>
        <v>16625000</v>
      </c>
      <c r="J32" s="85">
        <f>SUM(J10:J30)</f>
        <v>25039000</v>
      </c>
      <c r="K32" s="85">
        <f>SUM(K10:K31)</f>
        <v>14999999.999999996</v>
      </c>
      <c r="L32" s="90">
        <f>SUM(L10:L30)</f>
        <v>80173471.4</v>
      </c>
      <c r="M32" s="85">
        <f>SUM(M10:M31)</f>
        <v>0</v>
      </c>
      <c r="N32" s="85">
        <f>SUM(N10:N31)</f>
        <v>16900000</v>
      </c>
      <c r="O32" s="85">
        <f>SUM(O10:O31)</f>
        <v>10000000</v>
      </c>
      <c r="P32" s="85">
        <f>SUM(P10:P31)</f>
        <v>20000000</v>
      </c>
      <c r="Q32" s="91">
        <f>SUM(M32:O32)</f>
        <v>26900000</v>
      </c>
      <c r="R32" s="92">
        <f t="shared" si="2"/>
        <v>107073471.4</v>
      </c>
      <c r="S32" s="92">
        <f>SUM(S10:S31)</f>
        <v>130568838.17999999</v>
      </c>
      <c r="T32" s="24"/>
      <c r="U32" s="93" t="s">
        <v>42</v>
      </c>
      <c r="Y32" s="94"/>
    </row>
    <row r="33" spans="1:16" ht="11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24" ht="11.25">
      <c r="A34" s="2"/>
      <c r="B34" s="96"/>
      <c r="C34" s="97" t="s">
        <v>43</v>
      </c>
      <c r="D34" s="97"/>
      <c r="E34" s="97"/>
      <c r="F34" s="98"/>
      <c r="G34" s="95"/>
      <c r="H34" s="95"/>
      <c r="I34" s="95"/>
      <c r="J34" s="95"/>
      <c r="K34" s="95"/>
      <c r="L34" s="95"/>
      <c r="M34" s="95"/>
      <c r="N34" s="95"/>
      <c r="O34" s="95"/>
      <c r="P34" s="95"/>
      <c r="R34" s="99"/>
      <c r="S34" s="99"/>
      <c r="T34" s="100"/>
      <c r="U34" s="101"/>
      <c r="V34" s="102"/>
      <c r="W34" s="103"/>
      <c r="X34" s="104"/>
    </row>
    <row r="35" spans="1:26" ht="67.5">
      <c r="A35" s="105" t="s">
        <v>48</v>
      </c>
      <c r="B35" s="106" t="str">
        <f>B9</f>
        <v>Oleśnica/12</v>
      </c>
      <c r="C35" s="106" t="s">
        <v>15</v>
      </c>
      <c r="D35" s="106" t="str">
        <f>D9</f>
        <v>Oleśnica /13</v>
      </c>
      <c r="E35" s="107" t="str">
        <f>E9</f>
        <v>Żmigród- 155/14</v>
      </c>
      <c r="F35" s="107" t="str">
        <f>F9</f>
        <v>Zmigród-156/14</v>
      </c>
      <c r="G35" s="108" t="str">
        <f>G9</f>
        <v>Getin /15</v>
      </c>
      <c r="H35" s="108" t="s">
        <v>49</v>
      </c>
      <c r="I35" s="108" t="s">
        <v>50</v>
      </c>
      <c r="J35" s="108" t="s">
        <v>51</v>
      </c>
      <c r="K35" s="109" t="s">
        <v>52</v>
      </c>
      <c r="L35" s="110" t="s">
        <v>53</v>
      </c>
      <c r="M35" s="111" t="s">
        <v>25</v>
      </c>
      <c r="N35" s="193" t="s">
        <v>54</v>
      </c>
      <c r="O35" s="193" t="s">
        <v>75</v>
      </c>
      <c r="P35" s="193" t="s">
        <v>27</v>
      </c>
      <c r="Q35" s="193" t="s">
        <v>76</v>
      </c>
      <c r="R35" s="111" t="s">
        <v>25</v>
      </c>
      <c r="S35" s="113" t="s">
        <v>77</v>
      </c>
      <c r="T35" s="113" t="s">
        <v>78</v>
      </c>
      <c r="U35" s="194" t="s">
        <v>79</v>
      </c>
      <c r="V35" s="194" t="s">
        <v>80</v>
      </c>
      <c r="W35" s="195" t="s">
        <v>81</v>
      </c>
      <c r="X35" s="194" t="s">
        <v>82</v>
      </c>
      <c r="Y35" s="196" t="s">
        <v>83</v>
      </c>
      <c r="Z35"/>
    </row>
    <row r="36" spans="1:26" ht="12.75">
      <c r="A36" s="58">
        <v>2020</v>
      </c>
      <c r="B36" s="121">
        <v>20294.43</v>
      </c>
      <c r="C36" s="121">
        <v>33341.9</v>
      </c>
      <c r="D36" s="121">
        <v>59901.31</v>
      </c>
      <c r="E36" s="121">
        <v>45280.38</v>
      </c>
      <c r="F36" s="121">
        <v>47202.35</v>
      </c>
      <c r="G36" s="121">
        <v>205875</v>
      </c>
      <c r="H36" s="121">
        <v>213630</v>
      </c>
      <c r="I36" s="121">
        <v>419052.8</v>
      </c>
      <c r="J36" s="121">
        <v>635990.6</v>
      </c>
      <c r="K36" s="122"/>
      <c r="L36" s="123">
        <f aca="true" t="shared" si="4" ref="L36:L57">SUM(B36:K36)</f>
        <v>1680568.77</v>
      </c>
      <c r="M36" s="124"/>
      <c r="N36" s="199"/>
      <c r="O36" s="199"/>
      <c r="P36" s="199"/>
      <c r="Q36" s="199"/>
      <c r="R36" s="198"/>
      <c r="S36" s="127"/>
      <c r="T36" s="128"/>
      <c r="U36" s="198"/>
      <c r="V36" s="198"/>
      <c r="W36" s="198"/>
      <c r="X36" s="198"/>
      <c r="Y36" s="198"/>
      <c r="Z36" s="200"/>
    </row>
    <row r="37" spans="1:26" ht="11.25">
      <c r="A37" s="58">
        <f aca="true" t="shared" si="5" ref="A37:A43">A11</f>
        <v>2021</v>
      </c>
      <c r="B37" s="133"/>
      <c r="C37" s="133">
        <v>27720</v>
      </c>
      <c r="D37" s="60">
        <v>45085.76</v>
      </c>
      <c r="E37" s="133">
        <v>36456</v>
      </c>
      <c r="F37" s="133">
        <v>38199.96</v>
      </c>
      <c r="G37" s="133">
        <v>164250</v>
      </c>
      <c r="H37" s="133">
        <v>159000</v>
      </c>
      <c r="I37" s="133">
        <v>258637.5</v>
      </c>
      <c r="J37" s="133">
        <v>473237.1</v>
      </c>
      <c r="K37" s="122">
        <v>285682.62</v>
      </c>
      <c r="L37" s="123">
        <f t="shared" si="4"/>
        <v>1488268.94</v>
      </c>
      <c r="M37" s="124"/>
      <c r="N37" s="60"/>
      <c r="O37" s="60">
        <v>15214.630136986301</v>
      </c>
      <c r="P37" s="60"/>
      <c r="Q37" s="60"/>
      <c r="R37" s="124">
        <v>226076.56</v>
      </c>
      <c r="S37" s="210">
        <v>226076.56</v>
      </c>
      <c r="T37" s="211">
        <f aca="true" t="shared" si="6" ref="T37:T58">R37+O37+Q37</f>
        <v>241291.1901369863</v>
      </c>
      <c r="U37" s="202">
        <f aca="true" t="shared" si="7" ref="U37:U58">L37+S37</f>
        <v>1714345.5</v>
      </c>
      <c r="V37" s="202">
        <f aca="true" t="shared" si="8" ref="V37:V58">L37+T37</f>
        <v>1729560.1301369863</v>
      </c>
      <c r="W37" s="203">
        <f aca="true" t="shared" si="9" ref="W37:W58">U37-V37</f>
        <v>-15214.630136986263</v>
      </c>
      <c r="X37" s="204">
        <v>2050000</v>
      </c>
      <c r="Y37" s="205">
        <f aca="true" t="shared" si="10" ref="Y37:Y58">X37-V37</f>
        <v>320439.86986301374</v>
      </c>
      <c r="Z37" s="58">
        <v>2021</v>
      </c>
    </row>
    <row r="38" spans="1:26" ht="11.25">
      <c r="A38" s="58">
        <f t="shared" si="5"/>
        <v>2022</v>
      </c>
      <c r="B38" s="133"/>
      <c r="C38" s="133">
        <v>27720</v>
      </c>
      <c r="D38" s="60">
        <v>22548.76</v>
      </c>
      <c r="E38" s="133">
        <v>36456</v>
      </c>
      <c r="F38" s="133">
        <v>38199.96</v>
      </c>
      <c r="G38" s="133">
        <v>120450</v>
      </c>
      <c r="H38" s="133">
        <v>159000</v>
      </c>
      <c r="I38" s="133">
        <v>258637.5</v>
      </c>
      <c r="J38" s="133">
        <v>473237.1</v>
      </c>
      <c r="K38" s="122">
        <v>284632.22</v>
      </c>
      <c r="L38" s="123">
        <f t="shared" si="4"/>
        <v>1420881.5399999998</v>
      </c>
      <c r="M38" s="124"/>
      <c r="N38" s="60">
        <v>510410.96</v>
      </c>
      <c r="O38" s="60">
        <v>178737.78</v>
      </c>
      <c r="P38" s="60"/>
      <c r="Q38" s="60">
        <v>17715.07</v>
      </c>
      <c r="R38" s="124">
        <v>385572.89</v>
      </c>
      <c r="S38" s="210">
        <f aca="true" t="shared" si="11" ref="S38:S58">N38+P38+R38</f>
        <v>895983.8500000001</v>
      </c>
      <c r="T38" s="211">
        <f t="shared" si="6"/>
        <v>582025.74</v>
      </c>
      <c r="U38" s="202">
        <f t="shared" si="7"/>
        <v>2316865.3899999997</v>
      </c>
      <c r="V38" s="202">
        <f t="shared" si="8"/>
        <v>2002907.2799999998</v>
      </c>
      <c r="W38" s="203">
        <f t="shared" si="9"/>
        <v>313958.10999999987</v>
      </c>
      <c r="X38" s="204">
        <v>2601206.25</v>
      </c>
      <c r="Y38" s="205">
        <f t="shared" si="10"/>
        <v>598298.9700000002</v>
      </c>
      <c r="Z38" s="58">
        <v>2022</v>
      </c>
    </row>
    <row r="39" spans="1:26" ht="11.25">
      <c r="A39" s="58">
        <f t="shared" si="5"/>
        <v>2023</v>
      </c>
      <c r="B39" s="133"/>
      <c r="C39" s="136">
        <v>27720</v>
      </c>
      <c r="D39" s="60">
        <v>22548.76</v>
      </c>
      <c r="E39" s="133">
        <v>30282</v>
      </c>
      <c r="F39" s="133">
        <v>32025.96</v>
      </c>
      <c r="G39" s="133">
        <v>98550</v>
      </c>
      <c r="H39" s="133">
        <v>159000</v>
      </c>
      <c r="I39" s="133">
        <v>258637.5</v>
      </c>
      <c r="J39" s="133">
        <v>473237.1</v>
      </c>
      <c r="K39" s="122">
        <v>284286.43</v>
      </c>
      <c r="L39" s="123">
        <f t="shared" si="4"/>
        <v>1386287.7499999998</v>
      </c>
      <c r="M39" s="124"/>
      <c r="N39" s="60">
        <v>516367.81</v>
      </c>
      <c r="O39" s="60">
        <v>177805.56</v>
      </c>
      <c r="P39" s="60">
        <v>297735.62</v>
      </c>
      <c r="Q39" s="60">
        <v>104391.12</v>
      </c>
      <c r="R39" s="124">
        <v>385551.39</v>
      </c>
      <c r="S39" s="210">
        <f t="shared" si="11"/>
        <v>1199654.8199999998</v>
      </c>
      <c r="T39" s="211">
        <f t="shared" si="6"/>
        <v>667748.07</v>
      </c>
      <c r="U39" s="202">
        <f t="shared" si="7"/>
        <v>2585942.5699999994</v>
      </c>
      <c r="V39" s="202">
        <f t="shared" si="8"/>
        <v>2054035.8199999998</v>
      </c>
      <c r="W39" s="203">
        <f t="shared" si="9"/>
        <v>531906.7499999995</v>
      </c>
      <c r="X39" s="204">
        <v>2870099</v>
      </c>
      <c r="Y39" s="205">
        <f t="shared" si="10"/>
        <v>816063.1800000002</v>
      </c>
      <c r="Z39" s="58">
        <v>2023</v>
      </c>
    </row>
    <row r="40" spans="1:26" ht="11.25">
      <c r="A40" s="58">
        <f t="shared" si="5"/>
        <v>2024</v>
      </c>
      <c r="B40" s="133"/>
      <c r="C40" s="133"/>
      <c r="D40" s="133"/>
      <c r="E40" s="133">
        <v>24108</v>
      </c>
      <c r="F40" s="133">
        <v>25851.96</v>
      </c>
      <c r="G40" s="133">
        <v>76650</v>
      </c>
      <c r="H40" s="133">
        <v>155623.97</v>
      </c>
      <c r="I40" s="133">
        <v>219450</v>
      </c>
      <c r="J40" s="133">
        <v>473237.1</v>
      </c>
      <c r="K40" s="122">
        <v>284319.16</v>
      </c>
      <c r="L40" s="123">
        <f t="shared" si="4"/>
        <v>1259240.19</v>
      </c>
      <c r="M40" s="124"/>
      <c r="N40" s="60">
        <v>512801.71</v>
      </c>
      <c r="O40" s="60">
        <v>176346.64</v>
      </c>
      <c r="P40" s="60">
        <v>291735.62</v>
      </c>
      <c r="Q40" s="60">
        <v>102275.52</v>
      </c>
      <c r="R40" s="124">
        <v>385529.89</v>
      </c>
      <c r="S40" s="210">
        <f t="shared" si="11"/>
        <v>1190067.2200000002</v>
      </c>
      <c r="T40" s="211">
        <f t="shared" si="6"/>
        <v>664152.05</v>
      </c>
      <c r="U40" s="202">
        <f t="shared" si="7"/>
        <v>2449307.41</v>
      </c>
      <c r="V40" s="202">
        <f t="shared" si="8"/>
        <v>1923392.24</v>
      </c>
      <c r="W40" s="203">
        <f t="shared" si="9"/>
        <v>525915.1700000002</v>
      </c>
      <c r="X40" s="204">
        <v>2710782.27</v>
      </c>
      <c r="Y40" s="205">
        <f t="shared" si="10"/>
        <v>787390.03</v>
      </c>
      <c r="Z40" s="58">
        <v>2024</v>
      </c>
    </row>
    <row r="41" spans="1:26" ht="11.25">
      <c r="A41" s="58">
        <f t="shared" si="5"/>
        <v>2025</v>
      </c>
      <c r="B41" s="133"/>
      <c r="C41" s="133"/>
      <c r="D41" s="133"/>
      <c r="E41" s="133">
        <v>17934</v>
      </c>
      <c r="F41" s="133">
        <v>19677.96</v>
      </c>
      <c r="G41" s="133"/>
      <c r="H41" s="133">
        <v>115873.97</v>
      </c>
      <c r="I41" s="133">
        <v>180262.5</v>
      </c>
      <c r="J41" s="133">
        <v>473237.1</v>
      </c>
      <c r="K41" s="122">
        <v>282301.92</v>
      </c>
      <c r="L41" s="123">
        <f t="shared" si="4"/>
        <v>1089287.45</v>
      </c>
      <c r="M41" s="124"/>
      <c r="N41" s="60">
        <v>508301.71</v>
      </c>
      <c r="O41" s="60">
        <v>174753.34</v>
      </c>
      <c r="P41" s="60">
        <v>285735.62</v>
      </c>
      <c r="Q41" s="60">
        <v>100151.12</v>
      </c>
      <c r="R41" s="124">
        <v>385500.27</v>
      </c>
      <c r="S41" s="210">
        <f t="shared" si="11"/>
        <v>1179537.6</v>
      </c>
      <c r="T41" s="211">
        <f t="shared" si="6"/>
        <v>660404.73</v>
      </c>
      <c r="U41" s="202">
        <f t="shared" si="7"/>
        <v>2268825.05</v>
      </c>
      <c r="V41" s="202">
        <f t="shared" si="8"/>
        <v>1749692.18</v>
      </c>
      <c r="W41" s="203">
        <f t="shared" si="9"/>
        <v>519132.8699999999</v>
      </c>
      <c r="X41" s="204">
        <v>2530694.6</v>
      </c>
      <c r="Y41" s="205">
        <f t="shared" si="10"/>
        <v>781002.4200000002</v>
      </c>
      <c r="Z41" s="58">
        <v>2025</v>
      </c>
    </row>
    <row r="42" spans="1:26" ht="11.25">
      <c r="A42" s="58">
        <f t="shared" si="5"/>
        <v>2026</v>
      </c>
      <c r="B42" s="133"/>
      <c r="C42" s="133"/>
      <c r="D42" s="133"/>
      <c r="E42" s="133">
        <v>11760</v>
      </c>
      <c r="F42" s="133">
        <v>13503.96</v>
      </c>
      <c r="G42" s="133"/>
      <c r="H42" s="133">
        <v>76123.97</v>
      </c>
      <c r="I42" s="133">
        <v>141075</v>
      </c>
      <c r="J42" s="133">
        <v>473237.1</v>
      </c>
      <c r="K42" s="122">
        <v>281062.79</v>
      </c>
      <c r="L42" s="123">
        <f t="shared" si="4"/>
        <v>996762.8200000001</v>
      </c>
      <c r="M42" s="124"/>
      <c r="N42" s="60">
        <v>503235.62</v>
      </c>
      <c r="O42" s="60">
        <v>172761.12</v>
      </c>
      <c r="P42" s="60">
        <v>279735.62</v>
      </c>
      <c r="Q42" s="60">
        <v>98031.12</v>
      </c>
      <c r="R42" s="124">
        <v>385441.04</v>
      </c>
      <c r="S42" s="210">
        <f t="shared" si="11"/>
        <v>1168412.28</v>
      </c>
      <c r="T42" s="211">
        <f t="shared" si="6"/>
        <v>656233.2799999999</v>
      </c>
      <c r="U42" s="202">
        <f t="shared" si="7"/>
        <v>2165175.1</v>
      </c>
      <c r="V42" s="202">
        <f t="shared" si="8"/>
        <v>1652996.1</v>
      </c>
      <c r="W42" s="203">
        <f t="shared" si="9"/>
        <v>512179</v>
      </c>
      <c r="X42" s="204">
        <v>2427333.78</v>
      </c>
      <c r="Y42" s="205">
        <f t="shared" si="10"/>
        <v>774337.6799999997</v>
      </c>
      <c r="Z42" s="58">
        <v>2026</v>
      </c>
    </row>
    <row r="43" spans="1:26" ht="11.25">
      <c r="A43" s="58">
        <f t="shared" si="5"/>
        <v>2027</v>
      </c>
      <c r="B43" s="133"/>
      <c r="C43" s="133"/>
      <c r="D43" s="133"/>
      <c r="E43" s="133">
        <v>5586</v>
      </c>
      <c r="F43" s="133">
        <v>7329.96</v>
      </c>
      <c r="G43" s="133"/>
      <c r="H43" s="133">
        <v>36373.97</v>
      </c>
      <c r="I43" s="133">
        <v>99275</v>
      </c>
      <c r="J43" s="133">
        <v>473237.1</v>
      </c>
      <c r="K43" s="122">
        <v>278186.9</v>
      </c>
      <c r="L43" s="123">
        <f t="shared" si="4"/>
        <v>899988.93</v>
      </c>
      <c r="M43" s="124"/>
      <c r="N43" s="60">
        <v>497235.62</v>
      </c>
      <c r="O43" s="60">
        <v>170641.12</v>
      </c>
      <c r="P43" s="60">
        <v>273735.62</v>
      </c>
      <c r="Q43" s="60">
        <v>95911.12</v>
      </c>
      <c r="R43" s="124">
        <v>385346.93</v>
      </c>
      <c r="S43" s="210">
        <f t="shared" si="11"/>
        <v>1156318.17</v>
      </c>
      <c r="T43" s="211">
        <f t="shared" si="6"/>
        <v>651899.17</v>
      </c>
      <c r="U43" s="202">
        <f t="shared" si="7"/>
        <v>2056307.1</v>
      </c>
      <c r="V43" s="202">
        <f t="shared" si="8"/>
        <v>1551888.1</v>
      </c>
      <c r="W43" s="203">
        <f t="shared" si="9"/>
        <v>504419</v>
      </c>
      <c r="X43" s="204">
        <v>2318240.51</v>
      </c>
      <c r="Y43" s="205">
        <f t="shared" si="10"/>
        <v>766352.4099999997</v>
      </c>
      <c r="Z43" s="58">
        <v>2027</v>
      </c>
    </row>
    <row r="44" spans="1:26" ht="11.25">
      <c r="A44" s="58">
        <v>2028</v>
      </c>
      <c r="B44" s="133"/>
      <c r="C44" s="133"/>
      <c r="D44" s="133"/>
      <c r="E44" s="133"/>
      <c r="F44" s="133"/>
      <c r="G44" s="133"/>
      <c r="H44" s="133"/>
      <c r="I44" s="133">
        <v>57475</v>
      </c>
      <c r="J44" s="133">
        <v>437799.6</v>
      </c>
      <c r="K44" s="122">
        <v>273363.46</v>
      </c>
      <c r="L44" s="123">
        <f t="shared" si="4"/>
        <v>768638.06</v>
      </c>
      <c r="M44" s="124"/>
      <c r="N44" s="60">
        <v>489537.33</v>
      </c>
      <c r="O44" s="60">
        <v>167780.58</v>
      </c>
      <c r="P44" s="60">
        <v>264339.04</v>
      </c>
      <c r="Q44" s="60">
        <v>92975.07</v>
      </c>
      <c r="R44" s="124">
        <v>385166.4</v>
      </c>
      <c r="S44" s="210">
        <f t="shared" si="11"/>
        <v>1139042.77</v>
      </c>
      <c r="T44" s="211">
        <f t="shared" si="6"/>
        <v>645922.05</v>
      </c>
      <c r="U44" s="202">
        <f t="shared" si="7"/>
        <v>1907680.83</v>
      </c>
      <c r="V44" s="202">
        <f t="shared" si="8"/>
        <v>1414560.11</v>
      </c>
      <c r="W44" s="203">
        <f t="shared" si="9"/>
        <v>493120.72</v>
      </c>
      <c r="X44" s="204">
        <v>2168434.2</v>
      </c>
      <c r="Y44" s="205">
        <f t="shared" si="10"/>
        <v>753874.0900000001</v>
      </c>
      <c r="Z44" s="58">
        <v>2028</v>
      </c>
    </row>
    <row r="45" spans="1:26" ht="11.25">
      <c r="A45" s="58">
        <v>2029</v>
      </c>
      <c r="B45" s="133"/>
      <c r="C45" s="133"/>
      <c r="D45" s="133"/>
      <c r="E45" s="133"/>
      <c r="F45" s="133"/>
      <c r="G45" s="133"/>
      <c r="H45" s="133"/>
      <c r="I45" s="133">
        <v>57475</v>
      </c>
      <c r="J45" s="133">
        <v>341409.6</v>
      </c>
      <c r="K45" s="122">
        <v>264462.68</v>
      </c>
      <c r="L45" s="123">
        <f t="shared" si="4"/>
        <v>663347.28</v>
      </c>
      <c r="M45" s="124"/>
      <c r="N45" s="60">
        <v>471678.08</v>
      </c>
      <c r="O45" s="60">
        <v>162376.03</v>
      </c>
      <c r="P45" s="60">
        <v>249339.04</v>
      </c>
      <c r="Q45" s="60">
        <v>87413.7</v>
      </c>
      <c r="R45" s="124">
        <v>384816.72</v>
      </c>
      <c r="S45" s="210">
        <f t="shared" si="11"/>
        <v>1105833.8399999999</v>
      </c>
      <c r="T45" s="211">
        <f t="shared" si="6"/>
        <v>634606.45</v>
      </c>
      <c r="U45" s="202">
        <f t="shared" si="7"/>
        <v>1769181.1199999999</v>
      </c>
      <c r="V45" s="202">
        <f t="shared" si="8"/>
        <v>1297953.73</v>
      </c>
      <c r="W45" s="203">
        <f t="shared" si="9"/>
        <v>471227.3899999999</v>
      </c>
      <c r="X45" s="204">
        <v>2030463.17</v>
      </c>
      <c r="Y45" s="205">
        <f t="shared" si="10"/>
        <v>732509.44</v>
      </c>
      <c r="Z45" s="58">
        <v>2029</v>
      </c>
    </row>
    <row r="46" spans="1:26" ht="11.25">
      <c r="A46" s="58">
        <v>2030</v>
      </c>
      <c r="B46" s="133"/>
      <c r="C46" s="133"/>
      <c r="D46" s="133"/>
      <c r="E46" s="133"/>
      <c r="F46" s="133"/>
      <c r="G46" s="133"/>
      <c r="H46" s="133"/>
      <c r="I46" s="133">
        <v>28737.5</v>
      </c>
      <c r="J46" s="133">
        <v>245019.6</v>
      </c>
      <c r="K46" s="122">
        <v>252071.38</v>
      </c>
      <c r="L46" s="123">
        <f t="shared" si="4"/>
        <v>525828.48</v>
      </c>
      <c r="M46" s="124"/>
      <c r="N46" s="60">
        <v>441678.08</v>
      </c>
      <c r="O46" s="60">
        <v>151776.03</v>
      </c>
      <c r="P46" s="60">
        <v>234339.04</v>
      </c>
      <c r="Q46" s="60">
        <v>82113.7</v>
      </c>
      <c r="R46" s="124">
        <v>384386.72</v>
      </c>
      <c r="S46" s="210">
        <f t="shared" si="11"/>
        <v>1060403.8399999999</v>
      </c>
      <c r="T46" s="211">
        <f t="shared" si="6"/>
        <v>618276.45</v>
      </c>
      <c r="U46" s="202">
        <f t="shared" si="7"/>
        <v>1586232.3199999998</v>
      </c>
      <c r="V46" s="202">
        <f t="shared" si="8"/>
        <v>1144104.93</v>
      </c>
      <c r="W46" s="203">
        <f t="shared" si="9"/>
        <v>442127.3899999999</v>
      </c>
      <c r="X46" s="204">
        <v>1850405.67</v>
      </c>
      <c r="Y46" s="205">
        <f t="shared" si="10"/>
        <v>706300.74</v>
      </c>
      <c r="Z46" s="58">
        <v>2030</v>
      </c>
    </row>
    <row r="47" spans="1:26" ht="11.25">
      <c r="A47" s="58">
        <v>2031</v>
      </c>
      <c r="B47" s="133"/>
      <c r="C47" s="133"/>
      <c r="D47" s="133"/>
      <c r="E47" s="133"/>
      <c r="F47" s="133"/>
      <c r="G47" s="133"/>
      <c r="H47" s="133"/>
      <c r="I47" s="133"/>
      <c r="J47" s="133">
        <v>144414.9</v>
      </c>
      <c r="K47" s="122">
        <v>239680.08</v>
      </c>
      <c r="L47" s="123">
        <f t="shared" si="4"/>
        <v>384094.98</v>
      </c>
      <c r="M47" s="124"/>
      <c r="N47" s="60">
        <v>411678.08</v>
      </c>
      <c r="O47" s="60">
        <v>141176.03</v>
      </c>
      <c r="P47" s="60">
        <v>219339.04</v>
      </c>
      <c r="Q47" s="60">
        <v>76813.7</v>
      </c>
      <c r="R47" s="124">
        <v>383388.74</v>
      </c>
      <c r="S47" s="210">
        <f t="shared" si="11"/>
        <v>1014405.86</v>
      </c>
      <c r="T47" s="211">
        <f t="shared" si="6"/>
        <v>601378.47</v>
      </c>
      <c r="U47" s="202">
        <f t="shared" si="7"/>
        <v>1398500.8399999999</v>
      </c>
      <c r="V47" s="202">
        <f t="shared" si="8"/>
        <v>985473.45</v>
      </c>
      <c r="W47" s="203">
        <f t="shared" si="9"/>
        <v>413027.3899999999</v>
      </c>
      <c r="X47" s="204">
        <v>1665565.49</v>
      </c>
      <c r="Y47" s="205">
        <f t="shared" si="10"/>
        <v>680092.04</v>
      </c>
      <c r="Z47" s="58">
        <v>2031</v>
      </c>
    </row>
    <row r="48" spans="1:26" ht="11.25">
      <c r="A48" s="58">
        <v>2032</v>
      </c>
      <c r="B48" s="133"/>
      <c r="C48" s="133"/>
      <c r="D48" s="133"/>
      <c r="E48" s="133"/>
      <c r="F48" s="133"/>
      <c r="G48" s="133"/>
      <c r="H48" s="133"/>
      <c r="I48" s="133"/>
      <c r="J48" s="133">
        <v>36684.9</v>
      </c>
      <c r="K48" s="122">
        <v>220441.98</v>
      </c>
      <c r="L48" s="123">
        <f t="shared" si="4"/>
        <v>257126.88</v>
      </c>
      <c r="M48" s="124"/>
      <c r="N48" s="60">
        <v>370356.16</v>
      </c>
      <c r="O48" s="60">
        <v>126900.88</v>
      </c>
      <c r="P48" s="60">
        <v>204339.04</v>
      </c>
      <c r="Q48" s="60">
        <v>71716.99</v>
      </c>
      <c r="R48" s="124">
        <v>374069.96</v>
      </c>
      <c r="S48" s="210">
        <f t="shared" si="11"/>
        <v>948765.1599999999</v>
      </c>
      <c r="T48" s="211">
        <f t="shared" si="6"/>
        <v>572687.8300000001</v>
      </c>
      <c r="U48" s="202">
        <f t="shared" si="7"/>
        <v>1205892.04</v>
      </c>
      <c r="V48" s="202">
        <f t="shared" si="8"/>
        <v>829814.7100000001</v>
      </c>
      <c r="W48" s="203">
        <f t="shared" si="9"/>
        <v>376077.32999999996</v>
      </c>
      <c r="X48" s="204">
        <v>1478942.68</v>
      </c>
      <c r="Y48" s="205">
        <f t="shared" si="10"/>
        <v>649127.9699999999</v>
      </c>
      <c r="Z48" s="58">
        <v>2032</v>
      </c>
    </row>
    <row r="49" spans="1:26" ht="11.25">
      <c r="A49" s="58">
        <v>2033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22">
        <v>187589.07</v>
      </c>
      <c r="L49" s="123">
        <f t="shared" si="4"/>
        <v>187589.07</v>
      </c>
      <c r="M49" s="124"/>
      <c r="N49" s="60">
        <v>310356.16</v>
      </c>
      <c r="O49" s="60">
        <v>105332.05</v>
      </c>
      <c r="P49" s="60">
        <v>189339.04</v>
      </c>
      <c r="Q49" s="60">
        <v>66213.7</v>
      </c>
      <c r="R49" s="124">
        <v>344455.92</v>
      </c>
      <c r="S49" s="210">
        <f t="shared" si="11"/>
        <v>844151.1199999999</v>
      </c>
      <c r="T49" s="211">
        <f t="shared" si="6"/>
        <v>516001.67</v>
      </c>
      <c r="U49" s="202">
        <f t="shared" si="7"/>
        <v>1031740.19</v>
      </c>
      <c r="V49" s="202">
        <f t="shared" si="8"/>
        <v>703590.74</v>
      </c>
      <c r="W49" s="203">
        <f t="shared" si="9"/>
        <v>328149.44999999995</v>
      </c>
      <c r="X49" s="204">
        <v>1316193.52</v>
      </c>
      <c r="Y49" s="205">
        <f t="shared" si="10"/>
        <v>612602.78</v>
      </c>
      <c r="Z49" s="58">
        <v>2033</v>
      </c>
    </row>
    <row r="50" spans="1:26" ht="11.25">
      <c r="A50" s="58">
        <v>2034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22">
        <v>155371.68</v>
      </c>
      <c r="L50" s="123">
        <f t="shared" si="4"/>
        <v>155371.68</v>
      </c>
      <c r="M50" s="124"/>
      <c r="N50" s="60">
        <v>250356.16</v>
      </c>
      <c r="O50" s="60">
        <v>84132.05</v>
      </c>
      <c r="P50" s="60">
        <v>174339.04</v>
      </c>
      <c r="Q50" s="60">
        <v>60913.7</v>
      </c>
      <c r="R50" s="124">
        <v>301455.92</v>
      </c>
      <c r="S50" s="210">
        <f t="shared" si="11"/>
        <v>726151.12</v>
      </c>
      <c r="T50" s="211">
        <f t="shared" si="6"/>
        <v>446501.67</v>
      </c>
      <c r="U50" s="202">
        <f t="shared" si="7"/>
        <v>881522.8</v>
      </c>
      <c r="V50" s="202">
        <f t="shared" si="8"/>
        <v>601873.35</v>
      </c>
      <c r="W50" s="203">
        <f t="shared" si="9"/>
        <v>279649.45000000007</v>
      </c>
      <c r="X50" s="204">
        <v>1177293.52</v>
      </c>
      <c r="Y50" s="205">
        <f t="shared" si="10"/>
        <v>575420.17</v>
      </c>
      <c r="Z50" s="58">
        <v>2034</v>
      </c>
    </row>
    <row r="51" spans="1:26" ht="11.25">
      <c r="A51" s="58">
        <v>2035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22">
        <v>123154.29</v>
      </c>
      <c r="L51" s="123">
        <f t="shared" si="4"/>
        <v>123154.29</v>
      </c>
      <c r="M51" s="124"/>
      <c r="N51" s="60">
        <v>201678.08</v>
      </c>
      <c r="O51" s="60">
        <v>66976.03</v>
      </c>
      <c r="P51" s="60">
        <v>159339.04</v>
      </c>
      <c r="Q51" s="60">
        <v>55613.7</v>
      </c>
      <c r="R51" s="124">
        <v>258455.92</v>
      </c>
      <c r="S51" s="210">
        <f t="shared" si="11"/>
        <v>619473.04</v>
      </c>
      <c r="T51" s="211">
        <f t="shared" si="6"/>
        <v>381045.65</v>
      </c>
      <c r="U51" s="202">
        <f t="shared" si="7"/>
        <v>742627.3300000001</v>
      </c>
      <c r="V51" s="202">
        <f t="shared" si="8"/>
        <v>504199.94</v>
      </c>
      <c r="W51" s="203">
        <f t="shared" si="9"/>
        <v>238427.39000000007</v>
      </c>
      <c r="X51" s="204">
        <v>1042544.89</v>
      </c>
      <c r="Y51" s="205">
        <f t="shared" si="10"/>
        <v>538344.95</v>
      </c>
      <c r="Z51" s="58">
        <v>2035</v>
      </c>
    </row>
    <row r="52" spans="1:26" ht="11.25">
      <c r="A52" s="58">
        <v>2036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22">
        <v>91219.35</v>
      </c>
      <c r="L52" s="123">
        <f t="shared" si="4"/>
        <v>91219.35</v>
      </c>
      <c r="M52" s="124"/>
      <c r="N52" s="60">
        <v>171678.08</v>
      </c>
      <c r="O52" s="60">
        <v>56541.56</v>
      </c>
      <c r="P52" s="60">
        <v>144339.04</v>
      </c>
      <c r="Q52" s="60">
        <v>50458.9</v>
      </c>
      <c r="R52" s="124">
        <v>215455.92</v>
      </c>
      <c r="S52" s="210">
        <f t="shared" si="11"/>
        <v>531473.04</v>
      </c>
      <c r="T52" s="211">
        <f t="shared" si="6"/>
        <v>322456.38</v>
      </c>
      <c r="U52" s="202">
        <f t="shared" si="7"/>
        <v>622692.39</v>
      </c>
      <c r="V52" s="202">
        <f t="shared" si="8"/>
        <v>413675.73</v>
      </c>
      <c r="W52" s="203">
        <f t="shared" si="9"/>
        <v>209016.66000000003</v>
      </c>
      <c r="X52" s="204">
        <v>914914.01</v>
      </c>
      <c r="Y52" s="205">
        <f t="shared" si="10"/>
        <v>501238.28</v>
      </c>
      <c r="Z52" s="58">
        <v>2036</v>
      </c>
    </row>
    <row r="53" spans="1:26" ht="11.25">
      <c r="A53" s="58">
        <v>2037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22">
        <v>65360.06</v>
      </c>
      <c r="L53" s="123">
        <f t="shared" si="4"/>
        <v>65360.06</v>
      </c>
      <c r="M53" s="124"/>
      <c r="N53" s="60">
        <v>141678.08</v>
      </c>
      <c r="O53" s="60">
        <v>45776.03</v>
      </c>
      <c r="P53" s="60">
        <v>129339.04</v>
      </c>
      <c r="Q53" s="60">
        <v>45013.7</v>
      </c>
      <c r="R53" s="124">
        <v>172455.92</v>
      </c>
      <c r="S53" s="210">
        <f t="shared" si="11"/>
        <v>443473.04000000004</v>
      </c>
      <c r="T53" s="211">
        <f t="shared" si="6"/>
        <v>263245.65</v>
      </c>
      <c r="U53" s="202">
        <f t="shared" si="7"/>
        <v>508833.10000000003</v>
      </c>
      <c r="V53" s="202">
        <f t="shared" si="8"/>
        <v>328605.71</v>
      </c>
      <c r="W53" s="203">
        <f t="shared" si="9"/>
        <v>180227.39</v>
      </c>
      <c r="X53" s="204">
        <v>796927.07</v>
      </c>
      <c r="Y53" s="205">
        <f t="shared" si="10"/>
        <v>468321.3599999999</v>
      </c>
      <c r="Z53" s="58">
        <v>2037</v>
      </c>
    </row>
    <row r="54" spans="1:26" ht="11.25">
      <c r="A54" s="58">
        <v>2038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22">
        <v>50738.32</v>
      </c>
      <c r="L54" s="123">
        <f t="shared" si="4"/>
        <v>50738.32</v>
      </c>
      <c r="M54" s="124"/>
      <c r="N54" s="60">
        <v>111678.08</v>
      </c>
      <c r="O54" s="60">
        <v>35176.03</v>
      </c>
      <c r="P54" s="60">
        <v>108678.08</v>
      </c>
      <c r="Q54" s="60">
        <v>38356.03</v>
      </c>
      <c r="R54" s="124">
        <v>129455.92</v>
      </c>
      <c r="S54" s="210">
        <f t="shared" si="11"/>
        <v>349812.08</v>
      </c>
      <c r="T54" s="211">
        <f t="shared" si="6"/>
        <v>202987.98</v>
      </c>
      <c r="U54" s="202">
        <f t="shared" si="7"/>
        <v>400550.4</v>
      </c>
      <c r="V54" s="202">
        <f t="shared" si="8"/>
        <v>253726.30000000002</v>
      </c>
      <c r="W54" s="203">
        <f t="shared" si="9"/>
        <v>146824.1</v>
      </c>
      <c r="X54" s="204">
        <v>690346.11</v>
      </c>
      <c r="Y54" s="205">
        <f t="shared" si="10"/>
        <v>436619.80999999994</v>
      </c>
      <c r="Z54" s="58">
        <v>2038</v>
      </c>
    </row>
    <row r="55" spans="1:26" ht="11.25">
      <c r="A55" s="58">
        <v>2039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22">
        <v>36116.58</v>
      </c>
      <c r="L55" s="123">
        <f t="shared" si="4"/>
        <v>36116.58</v>
      </c>
      <c r="M55" s="124"/>
      <c r="N55" s="60">
        <v>81678.08</v>
      </c>
      <c r="O55" s="60">
        <v>24576.03</v>
      </c>
      <c r="P55" s="60">
        <v>78678.08</v>
      </c>
      <c r="Q55" s="60">
        <v>27756.03</v>
      </c>
      <c r="R55" s="124">
        <v>86455.92</v>
      </c>
      <c r="S55" s="210">
        <f t="shared" si="11"/>
        <v>246812.08000000002</v>
      </c>
      <c r="T55" s="211">
        <f t="shared" si="6"/>
        <v>138787.97999999998</v>
      </c>
      <c r="U55" s="202">
        <f t="shared" si="7"/>
        <v>282928.66000000003</v>
      </c>
      <c r="V55" s="202">
        <f t="shared" si="8"/>
        <v>174904.56</v>
      </c>
      <c r="W55" s="203">
        <f t="shared" si="9"/>
        <v>108024.10000000003</v>
      </c>
      <c r="X55" s="204">
        <v>574426.11</v>
      </c>
      <c r="Y55" s="205">
        <f t="shared" si="10"/>
        <v>399521.55</v>
      </c>
      <c r="Z55" s="58">
        <v>2039</v>
      </c>
    </row>
    <row r="56" spans="1:26" ht="11.25">
      <c r="A56" s="58">
        <v>2040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22">
        <v>21568.85</v>
      </c>
      <c r="L56" s="123">
        <f t="shared" si="4"/>
        <v>21568.85</v>
      </c>
      <c r="M56" s="124"/>
      <c r="N56" s="60">
        <v>51678.08</v>
      </c>
      <c r="O56" s="60">
        <v>14025.4</v>
      </c>
      <c r="P56" s="60">
        <v>48678.08</v>
      </c>
      <c r="Q56" s="60">
        <v>17214.11</v>
      </c>
      <c r="R56" s="124">
        <v>47512.94</v>
      </c>
      <c r="S56" s="210">
        <f t="shared" si="11"/>
        <v>147869.1</v>
      </c>
      <c r="T56" s="211">
        <f t="shared" si="6"/>
        <v>78752.45000000001</v>
      </c>
      <c r="U56" s="202">
        <f t="shared" si="7"/>
        <v>169437.95</v>
      </c>
      <c r="V56" s="202">
        <f t="shared" si="8"/>
        <v>100321.30000000002</v>
      </c>
      <c r="W56" s="203">
        <f t="shared" si="9"/>
        <v>69116.65</v>
      </c>
      <c r="X56" s="204">
        <v>462616.74</v>
      </c>
      <c r="Y56" s="205">
        <f t="shared" si="10"/>
        <v>362295.43999999994</v>
      </c>
      <c r="Z56" s="58">
        <v>2040</v>
      </c>
    </row>
    <row r="57" spans="1:26" ht="11.25">
      <c r="A57" s="58"/>
      <c r="B57" s="133"/>
      <c r="C57" s="133"/>
      <c r="D57" s="133"/>
      <c r="E57" s="133"/>
      <c r="F57" s="133"/>
      <c r="G57" s="133"/>
      <c r="H57" s="133"/>
      <c r="I57" s="133"/>
      <c r="J57" s="133"/>
      <c r="K57" s="122">
        <v>7714.86</v>
      </c>
      <c r="L57" s="123">
        <f t="shared" si="4"/>
        <v>7714.86</v>
      </c>
      <c r="M57" s="124"/>
      <c r="N57" s="60">
        <v>20545.89</v>
      </c>
      <c r="O57" s="137">
        <v>3525.59</v>
      </c>
      <c r="P57" s="60">
        <v>18678.08</v>
      </c>
      <c r="Q57" s="60">
        <v>6556.02</v>
      </c>
      <c r="R57" s="124">
        <v>17080.48</v>
      </c>
      <c r="S57" s="210">
        <f t="shared" si="11"/>
        <v>56304.45</v>
      </c>
      <c r="T57" s="211">
        <f t="shared" si="6"/>
        <v>27162.09</v>
      </c>
      <c r="U57" s="202">
        <f t="shared" si="7"/>
        <v>64019.31</v>
      </c>
      <c r="V57" s="202">
        <f t="shared" si="8"/>
        <v>34876.95</v>
      </c>
      <c r="W57" s="203">
        <f t="shared" si="9"/>
        <v>29142.36</v>
      </c>
      <c r="X57" s="204">
        <v>360444.76</v>
      </c>
      <c r="Y57" s="205">
        <f t="shared" si="10"/>
        <v>325567.81</v>
      </c>
      <c r="Z57" s="58">
        <v>2041</v>
      </c>
    </row>
    <row r="58" spans="1:26" ht="12.75">
      <c r="A58" s="144" t="str">
        <f>A32</f>
        <v>Suma</v>
      </c>
      <c r="B58" s="125">
        <f aca="true" t="shared" si="12" ref="B58:H58">SUM(B36:B50)</f>
        <v>20294.43</v>
      </c>
      <c r="C58" s="125">
        <f t="shared" si="12"/>
        <v>116501.9</v>
      </c>
      <c r="D58" s="125">
        <f t="shared" si="12"/>
        <v>150084.59</v>
      </c>
      <c r="E58" s="125">
        <f t="shared" si="12"/>
        <v>207862.38</v>
      </c>
      <c r="F58" s="125">
        <f t="shared" si="12"/>
        <v>221992.06999999995</v>
      </c>
      <c r="G58" s="125">
        <f t="shared" si="12"/>
        <v>665775</v>
      </c>
      <c r="H58" s="125">
        <f t="shared" si="12"/>
        <v>1074625.88</v>
      </c>
      <c r="I58" s="125">
        <f>SUM(I36:I56)</f>
        <v>1978715.3</v>
      </c>
      <c r="J58" s="125">
        <f>SUM(J36:J55)</f>
        <v>5153978.9</v>
      </c>
      <c r="K58" s="125">
        <f>SUM(K36:K57)</f>
        <v>3969324.68</v>
      </c>
      <c r="L58" s="145">
        <f>SUM(L36:L57)</f>
        <v>13559155.129999999</v>
      </c>
      <c r="M58" s="67">
        <f>SUM(M36:M57)</f>
        <v>0</v>
      </c>
      <c r="N58" s="125">
        <v>6574607.850000001</v>
      </c>
      <c r="O58" s="88">
        <v>2252330.5101369857</v>
      </c>
      <c r="P58" s="125">
        <v>3651780.8200000008</v>
      </c>
      <c r="Q58" s="125">
        <v>1297604.1199999999</v>
      </c>
      <c r="R58" s="125">
        <v>6023632.37</v>
      </c>
      <c r="S58" s="210">
        <f t="shared" si="11"/>
        <v>16250021.040000003</v>
      </c>
      <c r="T58" s="211">
        <f t="shared" si="6"/>
        <v>9573567.000136985</v>
      </c>
      <c r="U58" s="212">
        <f t="shared" si="7"/>
        <v>29809176.17</v>
      </c>
      <c r="V58" s="212">
        <f t="shared" si="8"/>
        <v>23132722.13013698</v>
      </c>
      <c r="W58" s="208">
        <f t="shared" si="9"/>
        <v>6676454.03986302</v>
      </c>
      <c r="X58" s="125">
        <f>SUM(X37:X57)</f>
        <v>34037874.349999994</v>
      </c>
      <c r="Y58" s="213">
        <f t="shared" si="10"/>
        <v>10905152.219863012</v>
      </c>
      <c r="Z58"/>
    </row>
    <row r="59" spans="1:24" ht="11.25">
      <c r="A59" s="11"/>
      <c r="B59" s="133"/>
      <c r="C59" s="133"/>
      <c r="D59" s="133"/>
      <c r="E59" s="133"/>
      <c r="F59" s="133"/>
      <c r="G59" s="133"/>
      <c r="H59" s="154"/>
      <c r="I59" s="154"/>
      <c r="J59" s="154"/>
      <c r="K59" s="154"/>
      <c r="L59" s="154"/>
      <c r="M59" s="133"/>
      <c r="N59" s="133"/>
      <c r="O59" s="133"/>
      <c r="P59" s="133"/>
      <c r="Q59" s="133"/>
      <c r="R59" s="133"/>
      <c r="S59" s="155"/>
      <c r="T59" s="155"/>
      <c r="U59" s="155"/>
      <c r="V59" s="155"/>
      <c r="W59" s="155"/>
      <c r="X59" s="156"/>
    </row>
    <row r="61" ht="11.25">
      <c r="W61" s="157"/>
    </row>
    <row r="62" spans="9:17" ht="11.25">
      <c r="I62" s="19" t="s">
        <v>62</v>
      </c>
      <c r="J62" s="158">
        <v>4.2693</v>
      </c>
      <c r="K62" s="159"/>
      <c r="M62" s="160">
        <f>M58/J62</f>
        <v>0</v>
      </c>
      <c r="N62" s="161"/>
      <c r="O62" s="161"/>
      <c r="P62" s="160" t="e">
        <f>P58/M62</f>
        <v>#DIV/0!</v>
      </c>
      <c r="Q62" s="162">
        <f>Q58/J62</f>
        <v>303938.3786569226</v>
      </c>
    </row>
    <row r="63" spans="23:24" ht="11.25">
      <c r="W63" s="163"/>
      <c r="X63" s="1" t="s">
        <v>63</v>
      </c>
    </row>
    <row r="68" ht="11.25">
      <c r="K68" s="17" t="s">
        <v>64</v>
      </c>
    </row>
    <row r="69" spans="6:11" ht="11.25">
      <c r="F69" s="184" t="s">
        <v>65</v>
      </c>
      <c r="G69" s="185"/>
      <c r="H69" s="185"/>
      <c r="I69" s="185"/>
      <c r="J69" s="185"/>
      <c r="K69" s="186"/>
    </row>
    <row r="70" spans="6:11" ht="11.25">
      <c r="F70" s="164"/>
      <c r="G70" s="165">
        <v>1</v>
      </c>
      <c r="H70" s="165">
        <v>2</v>
      </c>
      <c r="I70" s="165">
        <v>3</v>
      </c>
      <c r="J70" s="165">
        <v>4</v>
      </c>
      <c r="K70" s="166">
        <v>5</v>
      </c>
    </row>
    <row r="71" spans="6:29" ht="56.25">
      <c r="F71" s="167" t="s">
        <v>13</v>
      </c>
      <c r="G71" s="112" t="s">
        <v>66</v>
      </c>
      <c r="H71" s="112" t="s">
        <v>67</v>
      </c>
      <c r="I71" s="168" t="s">
        <v>68</v>
      </c>
      <c r="J71" s="168" t="s">
        <v>69</v>
      </c>
      <c r="K71" s="169" t="s">
        <v>70</v>
      </c>
      <c r="N71" s="187" t="s">
        <v>73</v>
      </c>
      <c r="O71" s="188"/>
      <c r="Q71" s="189"/>
      <c r="R71" s="853">
        <v>0.03</v>
      </c>
      <c r="S71" s="190">
        <v>0.85</v>
      </c>
      <c r="T71" s="854">
        <v>0.03</v>
      </c>
      <c r="U71" s="190">
        <v>0.85</v>
      </c>
      <c r="V71"/>
      <c r="W71"/>
      <c r="X71"/>
      <c r="Y71"/>
      <c r="Z71"/>
      <c r="AA71"/>
      <c r="AB71"/>
      <c r="AC71"/>
    </row>
    <row r="72" spans="6:29" ht="12.75">
      <c r="F72" s="170">
        <v>2021</v>
      </c>
      <c r="G72" s="171">
        <f aca="true" t="shared" si="13" ref="G72:G92">SUM(B11:J11)</f>
        <v>7252591</v>
      </c>
      <c r="H72" s="172">
        <f aca="true" t="shared" si="14" ref="H72:H92">SUM(K11)</f>
        <v>21000</v>
      </c>
      <c r="I72" s="172">
        <f aca="true" t="shared" si="15" ref="I72:I92">SUM(M11+N11)</f>
        <v>0</v>
      </c>
      <c r="J72" s="173">
        <f aca="true" t="shared" si="16" ref="J72:J92">O11</f>
        <v>0</v>
      </c>
      <c r="K72" s="174">
        <f aca="true" t="shared" si="17" ref="K72:K92">SUM(G72:J72)</f>
        <v>7273591</v>
      </c>
      <c r="N72" s="187" t="s">
        <v>74</v>
      </c>
      <c r="O72" s="188"/>
      <c r="Q72" s="189"/>
      <c r="R72" s="853"/>
      <c r="S72" s="191">
        <v>0.21</v>
      </c>
      <c r="T72" s="854"/>
      <c r="U72" s="192">
        <v>0.21</v>
      </c>
      <c r="V72"/>
      <c r="W72"/>
      <c r="X72"/>
      <c r="Y72"/>
      <c r="Z72"/>
      <c r="AA72"/>
      <c r="AB72"/>
      <c r="AC72"/>
    </row>
    <row r="73" spans="6:29" ht="67.5">
      <c r="F73" s="170">
        <v>2022</v>
      </c>
      <c r="G73" s="171">
        <f t="shared" si="13"/>
        <v>2000000</v>
      </c>
      <c r="H73" s="172">
        <f t="shared" si="14"/>
        <v>15000</v>
      </c>
      <c r="I73" s="172">
        <f t="shared" si="15"/>
        <v>50000</v>
      </c>
      <c r="J73" s="173">
        <f t="shared" si="16"/>
        <v>0</v>
      </c>
      <c r="K73" s="174">
        <f t="shared" si="17"/>
        <v>2065000</v>
      </c>
      <c r="N73" s="105" t="s">
        <v>48</v>
      </c>
      <c r="O73" s="110" t="s">
        <v>53</v>
      </c>
      <c r="Q73" s="111" t="s">
        <v>25</v>
      </c>
      <c r="R73" s="193" t="s">
        <v>54</v>
      </c>
      <c r="S73" s="193" t="s">
        <v>75</v>
      </c>
      <c r="T73" s="193" t="s">
        <v>27</v>
      </c>
      <c r="U73" s="193" t="s">
        <v>76</v>
      </c>
      <c r="V73" s="113" t="s">
        <v>77</v>
      </c>
      <c r="W73" s="113" t="s">
        <v>78</v>
      </c>
      <c r="X73" s="194" t="s">
        <v>79</v>
      </c>
      <c r="Y73" s="194" t="s">
        <v>80</v>
      </c>
      <c r="Z73" s="195" t="s">
        <v>81</v>
      </c>
      <c r="AA73" s="194" t="s">
        <v>82</v>
      </c>
      <c r="AB73" s="196" t="s">
        <v>83</v>
      </c>
      <c r="AC73"/>
    </row>
    <row r="74" spans="6:29" ht="12.75">
      <c r="F74" s="170">
        <v>2023</v>
      </c>
      <c r="G74" s="171">
        <f t="shared" si="13"/>
        <v>3454759</v>
      </c>
      <c r="H74" s="172">
        <f t="shared" si="14"/>
        <v>23478.28</v>
      </c>
      <c r="I74" s="172">
        <f t="shared" si="15"/>
        <v>100000</v>
      </c>
      <c r="J74" s="173">
        <f t="shared" si="16"/>
        <v>200000</v>
      </c>
      <c r="K74" s="174">
        <f t="shared" si="17"/>
        <v>3778237.28</v>
      </c>
      <c r="N74" s="197"/>
      <c r="O74" s="198"/>
      <c r="Q74" s="198"/>
      <c r="R74" s="199"/>
      <c r="S74" s="199"/>
      <c r="T74" s="199"/>
      <c r="U74" s="199"/>
      <c r="V74" s="198"/>
      <c r="W74" s="198"/>
      <c r="X74" s="198"/>
      <c r="Y74" s="198"/>
      <c r="Z74" s="198"/>
      <c r="AA74" s="198"/>
      <c r="AB74" s="198"/>
      <c r="AC74" s="200"/>
    </row>
    <row r="75" spans="6:29" ht="11.25">
      <c r="F75" s="170">
        <v>2024</v>
      </c>
      <c r="G75" s="171">
        <f t="shared" si="13"/>
        <v>5875000</v>
      </c>
      <c r="H75" s="172">
        <f t="shared" si="14"/>
        <v>65217.4</v>
      </c>
      <c r="I75" s="172">
        <f t="shared" si="15"/>
        <v>150000</v>
      </c>
      <c r="J75" s="173">
        <f t="shared" si="16"/>
        <v>200000</v>
      </c>
      <c r="K75" s="174">
        <f t="shared" si="17"/>
        <v>6290217.4</v>
      </c>
      <c r="N75" s="58">
        <v>2021</v>
      </c>
      <c r="O75" s="123">
        <v>1488268.94</v>
      </c>
      <c r="Q75" s="124">
        <v>226076.56</v>
      </c>
      <c r="R75" s="60"/>
      <c r="S75" s="60">
        <v>15214.630136986301</v>
      </c>
      <c r="T75" s="60"/>
      <c r="U75" s="60"/>
      <c r="V75" s="201">
        <v>226076.56</v>
      </c>
      <c r="W75" s="125">
        <v>241291.190136986</v>
      </c>
      <c r="X75" s="202">
        <f aca="true" t="shared" si="18" ref="X75:X96">O75+V75</f>
        <v>1714345.5</v>
      </c>
      <c r="Y75" s="202">
        <f aca="true" t="shared" si="19" ref="Y75:Y96">O75+W75</f>
        <v>1729560.130136986</v>
      </c>
      <c r="Z75" s="203">
        <f aca="true" t="shared" si="20" ref="Z75:Z96">X75-Y75</f>
        <v>-15214.63013698603</v>
      </c>
      <c r="AA75" s="204">
        <v>2050000</v>
      </c>
      <c r="AB75" s="205">
        <f aca="true" t="shared" si="21" ref="AB75:AB96">AA75-Y75</f>
        <v>320439.86986301397</v>
      </c>
      <c r="AC75" s="58">
        <v>2021</v>
      </c>
    </row>
    <row r="76" spans="6:29" ht="11.25">
      <c r="F76" s="170">
        <v>2025</v>
      </c>
      <c r="G76" s="171">
        <f t="shared" si="13"/>
        <v>4375000</v>
      </c>
      <c r="H76" s="172">
        <f t="shared" si="14"/>
        <v>65217.4</v>
      </c>
      <c r="I76" s="172">
        <f t="shared" si="15"/>
        <v>150000</v>
      </c>
      <c r="J76" s="173">
        <f t="shared" si="16"/>
        <v>200000</v>
      </c>
      <c r="K76" s="174">
        <f t="shared" si="17"/>
        <v>4790217.4</v>
      </c>
      <c r="N76" s="58">
        <v>2022</v>
      </c>
      <c r="O76" s="123">
        <v>1420881.5399999998</v>
      </c>
      <c r="Q76" s="124">
        <v>385572.89</v>
      </c>
      <c r="R76" s="60">
        <v>510410.96</v>
      </c>
      <c r="S76" s="60">
        <v>178737.78</v>
      </c>
      <c r="T76" s="60"/>
      <c r="U76" s="60">
        <v>17715.07</v>
      </c>
      <c r="V76" s="201">
        <f aca="true" t="shared" si="22" ref="V76:V96">Q76+R76+T76</f>
        <v>895983.8500000001</v>
      </c>
      <c r="W76" s="125">
        <f aca="true" t="shared" si="23" ref="W76:W95">Q76+S76+U76</f>
        <v>582025.74</v>
      </c>
      <c r="X76" s="202">
        <f t="shared" si="18"/>
        <v>2316865.3899999997</v>
      </c>
      <c r="Y76" s="202">
        <f t="shared" si="19"/>
        <v>2002907.2799999998</v>
      </c>
      <c r="Z76" s="203">
        <f t="shared" si="20"/>
        <v>313958.10999999987</v>
      </c>
      <c r="AA76" s="204">
        <v>2601206.25</v>
      </c>
      <c r="AB76" s="205">
        <f t="shared" si="21"/>
        <v>598298.9700000002</v>
      </c>
      <c r="AC76" s="58">
        <v>2022</v>
      </c>
    </row>
    <row r="77" spans="6:29" ht="11.25">
      <c r="F77" s="170">
        <v>2026</v>
      </c>
      <c r="G77" s="171">
        <f t="shared" si="13"/>
        <v>4375000</v>
      </c>
      <c r="H77" s="172">
        <f t="shared" si="14"/>
        <v>65217.4</v>
      </c>
      <c r="I77" s="172">
        <f t="shared" si="15"/>
        <v>200000</v>
      </c>
      <c r="J77" s="173">
        <f t="shared" si="16"/>
        <v>200000</v>
      </c>
      <c r="K77" s="174">
        <f t="shared" si="17"/>
        <v>4840217.4</v>
      </c>
      <c r="N77" s="58">
        <v>2023</v>
      </c>
      <c r="O77" s="123">
        <v>1386287.7499999998</v>
      </c>
      <c r="Q77" s="124">
        <v>385551.39</v>
      </c>
      <c r="R77" s="60">
        <v>516367.81</v>
      </c>
      <c r="S77" s="60">
        <v>177805.56</v>
      </c>
      <c r="T77" s="60">
        <v>297735.62</v>
      </c>
      <c r="U77" s="60">
        <v>104391.12</v>
      </c>
      <c r="V77" s="201">
        <f t="shared" si="22"/>
        <v>1199654.8199999998</v>
      </c>
      <c r="W77" s="125">
        <f t="shared" si="23"/>
        <v>667748.07</v>
      </c>
      <c r="X77" s="202">
        <f t="shared" si="18"/>
        <v>2585942.5699999994</v>
      </c>
      <c r="Y77" s="202">
        <f t="shared" si="19"/>
        <v>2054035.8199999998</v>
      </c>
      <c r="Z77" s="203">
        <f t="shared" si="20"/>
        <v>531906.7499999995</v>
      </c>
      <c r="AA77" s="204">
        <v>2870099</v>
      </c>
      <c r="AB77" s="205">
        <f t="shared" si="21"/>
        <v>816063.1800000002</v>
      </c>
      <c r="AC77" s="58">
        <v>2023</v>
      </c>
    </row>
    <row r="78" spans="6:29" ht="11.25">
      <c r="F78" s="170">
        <v>2027</v>
      </c>
      <c r="G78" s="171">
        <f t="shared" si="13"/>
        <v>6375000</v>
      </c>
      <c r="H78" s="172">
        <f t="shared" si="14"/>
        <v>293478.28</v>
      </c>
      <c r="I78" s="172">
        <f t="shared" si="15"/>
        <v>200000</v>
      </c>
      <c r="J78" s="173">
        <f t="shared" si="16"/>
        <v>200000</v>
      </c>
      <c r="K78" s="174">
        <f t="shared" si="17"/>
        <v>7068478.28</v>
      </c>
      <c r="N78" s="58">
        <v>2024</v>
      </c>
      <c r="O78" s="123">
        <v>1259240.19</v>
      </c>
      <c r="Q78" s="124">
        <v>385529.89</v>
      </c>
      <c r="R78" s="60">
        <v>512801.71</v>
      </c>
      <c r="S78" s="60">
        <v>176346.64</v>
      </c>
      <c r="T78" s="60">
        <v>291735.62</v>
      </c>
      <c r="U78" s="60">
        <v>102275.52</v>
      </c>
      <c r="V78" s="201">
        <f t="shared" si="22"/>
        <v>1190067.2200000002</v>
      </c>
      <c r="W78" s="125">
        <f t="shared" si="23"/>
        <v>664152.05</v>
      </c>
      <c r="X78" s="202">
        <f t="shared" si="18"/>
        <v>2449307.41</v>
      </c>
      <c r="Y78" s="202">
        <f t="shared" si="19"/>
        <v>1923392.24</v>
      </c>
      <c r="Z78" s="203">
        <f t="shared" si="20"/>
        <v>525915.1700000002</v>
      </c>
      <c r="AA78" s="204">
        <v>2710782.27</v>
      </c>
      <c r="AB78" s="205">
        <f t="shared" si="21"/>
        <v>787390.03</v>
      </c>
      <c r="AC78" s="58">
        <v>2024</v>
      </c>
    </row>
    <row r="79" spans="6:29" ht="11.25">
      <c r="F79" s="170">
        <v>2028</v>
      </c>
      <c r="G79" s="171">
        <f t="shared" si="13"/>
        <v>7100000</v>
      </c>
      <c r="H79" s="172">
        <f t="shared" si="14"/>
        <v>293478.28</v>
      </c>
      <c r="I79" s="172">
        <f t="shared" si="15"/>
        <v>350000</v>
      </c>
      <c r="J79" s="173">
        <f t="shared" si="16"/>
        <v>500000</v>
      </c>
      <c r="K79" s="174">
        <f t="shared" si="17"/>
        <v>8243478.28</v>
      </c>
      <c r="N79" s="58">
        <v>2025</v>
      </c>
      <c r="O79" s="123">
        <v>1089287.45</v>
      </c>
      <c r="Q79" s="124">
        <v>385500.27</v>
      </c>
      <c r="R79" s="60">
        <v>508301.71</v>
      </c>
      <c r="S79" s="60">
        <v>174753.34</v>
      </c>
      <c r="T79" s="60">
        <v>285735.62</v>
      </c>
      <c r="U79" s="60">
        <v>100151.12</v>
      </c>
      <c r="V79" s="201">
        <f t="shared" si="22"/>
        <v>1179537.6</v>
      </c>
      <c r="W79" s="125">
        <f t="shared" si="23"/>
        <v>660404.73</v>
      </c>
      <c r="X79" s="202">
        <f t="shared" si="18"/>
        <v>2268825.05</v>
      </c>
      <c r="Y79" s="202">
        <f t="shared" si="19"/>
        <v>1749692.18</v>
      </c>
      <c r="Z79" s="203">
        <f t="shared" si="20"/>
        <v>519132.8699999999</v>
      </c>
      <c r="AA79" s="204">
        <v>2530694.6</v>
      </c>
      <c r="AB79" s="205">
        <f t="shared" si="21"/>
        <v>781002.4200000002</v>
      </c>
      <c r="AC79" s="58">
        <v>2025</v>
      </c>
    </row>
    <row r="80" spans="6:29" ht="11.25">
      <c r="F80" s="170">
        <v>2029</v>
      </c>
      <c r="G80" s="171">
        <f t="shared" si="13"/>
        <v>6475000</v>
      </c>
      <c r="H80" s="172">
        <f t="shared" si="14"/>
        <v>652173.92</v>
      </c>
      <c r="I80" s="172">
        <f t="shared" si="15"/>
        <v>1000000</v>
      </c>
      <c r="J80" s="173">
        <f t="shared" si="16"/>
        <v>500000</v>
      </c>
      <c r="K80" s="174">
        <f t="shared" si="17"/>
        <v>8627173.92</v>
      </c>
      <c r="N80" s="58">
        <v>2026</v>
      </c>
      <c r="O80" s="123">
        <v>996762.82</v>
      </c>
      <c r="Q80" s="124">
        <v>385441.04</v>
      </c>
      <c r="R80" s="60">
        <v>503235.62</v>
      </c>
      <c r="S80" s="60">
        <v>172761.12</v>
      </c>
      <c r="T80" s="60">
        <v>279735.62</v>
      </c>
      <c r="U80" s="60">
        <v>98031.12</v>
      </c>
      <c r="V80" s="201">
        <f t="shared" si="22"/>
        <v>1168412.2799999998</v>
      </c>
      <c r="W80" s="125">
        <f t="shared" si="23"/>
        <v>656233.2799999999</v>
      </c>
      <c r="X80" s="202">
        <f t="shared" si="18"/>
        <v>2165175.0999999996</v>
      </c>
      <c r="Y80" s="202">
        <f t="shared" si="19"/>
        <v>1652996.0999999999</v>
      </c>
      <c r="Z80" s="203">
        <f t="shared" si="20"/>
        <v>512178.99999999977</v>
      </c>
      <c r="AA80" s="204">
        <v>2427333.78</v>
      </c>
      <c r="AB80" s="205">
        <f t="shared" si="21"/>
        <v>774337.6799999999</v>
      </c>
      <c r="AC80" s="58">
        <v>2026</v>
      </c>
    </row>
    <row r="81" spans="6:29" ht="11.25">
      <c r="F81" s="170">
        <v>2030</v>
      </c>
      <c r="G81" s="171">
        <f t="shared" si="13"/>
        <v>6698000</v>
      </c>
      <c r="H81" s="172">
        <f t="shared" si="14"/>
        <v>652173.92</v>
      </c>
      <c r="I81" s="172">
        <f t="shared" si="15"/>
        <v>1000000</v>
      </c>
      <c r="J81" s="173">
        <f t="shared" si="16"/>
        <v>500000</v>
      </c>
      <c r="K81" s="174">
        <f t="shared" si="17"/>
        <v>8850173.92</v>
      </c>
      <c r="N81" s="58">
        <v>2027</v>
      </c>
      <c r="O81" s="123">
        <v>899988.93</v>
      </c>
      <c r="Q81" s="124">
        <v>385346.93</v>
      </c>
      <c r="R81" s="60">
        <v>497235.62</v>
      </c>
      <c r="S81" s="60">
        <v>170641.12</v>
      </c>
      <c r="T81" s="60">
        <v>273735.62</v>
      </c>
      <c r="U81" s="60">
        <v>95911.12</v>
      </c>
      <c r="V81" s="201">
        <f t="shared" si="22"/>
        <v>1156318.17</v>
      </c>
      <c r="W81" s="125">
        <f t="shared" si="23"/>
        <v>651899.17</v>
      </c>
      <c r="X81" s="202">
        <f t="shared" si="18"/>
        <v>2056307.1</v>
      </c>
      <c r="Y81" s="202">
        <f t="shared" si="19"/>
        <v>1551888.1</v>
      </c>
      <c r="Z81" s="203">
        <f t="shared" si="20"/>
        <v>504419</v>
      </c>
      <c r="AA81" s="204">
        <v>2318240.51</v>
      </c>
      <c r="AB81" s="205">
        <f t="shared" si="21"/>
        <v>766352.4099999997</v>
      </c>
      <c r="AC81" s="58">
        <v>2027</v>
      </c>
    </row>
    <row r="82" spans="6:29" ht="11.25">
      <c r="F82" s="170">
        <v>2031</v>
      </c>
      <c r="G82" s="171">
        <f t="shared" si="13"/>
        <v>5700000</v>
      </c>
      <c r="H82" s="172">
        <f t="shared" si="14"/>
        <v>652173.92</v>
      </c>
      <c r="I82" s="172">
        <f t="shared" si="15"/>
        <v>1000000</v>
      </c>
      <c r="J82" s="173">
        <f t="shared" si="16"/>
        <v>500000</v>
      </c>
      <c r="K82" s="174">
        <f t="shared" si="17"/>
        <v>7852173.92</v>
      </c>
      <c r="N82" s="58">
        <v>2028</v>
      </c>
      <c r="O82" s="123">
        <v>768638.06</v>
      </c>
      <c r="Q82" s="124">
        <v>385166.4</v>
      </c>
      <c r="R82" s="60">
        <v>489537.33</v>
      </c>
      <c r="S82" s="60">
        <v>167780.58</v>
      </c>
      <c r="T82" s="60">
        <v>264339.04</v>
      </c>
      <c r="U82" s="60">
        <v>92975.07</v>
      </c>
      <c r="V82" s="201">
        <f t="shared" si="22"/>
        <v>1139042.77</v>
      </c>
      <c r="W82" s="125">
        <f t="shared" si="23"/>
        <v>645922.05</v>
      </c>
      <c r="X82" s="202">
        <f t="shared" si="18"/>
        <v>1907680.83</v>
      </c>
      <c r="Y82" s="202">
        <f t="shared" si="19"/>
        <v>1414560.11</v>
      </c>
      <c r="Z82" s="203">
        <f t="shared" si="20"/>
        <v>493120.72</v>
      </c>
      <c r="AA82" s="204">
        <v>2168434.2</v>
      </c>
      <c r="AB82" s="205">
        <f t="shared" si="21"/>
        <v>753874.0900000001</v>
      </c>
      <c r="AC82" s="58">
        <v>2028</v>
      </c>
    </row>
    <row r="83" spans="6:29" ht="11.25">
      <c r="F83" s="170">
        <v>2032</v>
      </c>
      <c r="G83" s="171">
        <f t="shared" si="13"/>
        <v>1941000</v>
      </c>
      <c r="H83" s="172">
        <f t="shared" si="14"/>
        <v>1695652.16</v>
      </c>
      <c r="I83" s="172">
        <f t="shared" si="15"/>
        <v>2000000</v>
      </c>
      <c r="J83" s="173">
        <f t="shared" si="16"/>
        <v>500000</v>
      </c>
      <c r="K83" s="174">
        <f t="shared" si="17"/>
        <v>6136652.16</v>
      </c>
      <c r="N83" s="58">
        <v>2029</v>
      </c>
      <c r="O83" s="123">
        <v>663347.28</v>
      </c>
      <c r="Q83" s="124">
        <v>384816.72</v>
      </c>
      <c r="R83" s="60">
        <v>471678.08</v>
      </c>
      <c r="S83" s="60">
        <v>162376.03</v>
      </c>
      <c r="T83" s="60">
        <v>249339.04</v>
      </c>
      <c r="U83" s="60">
        <v>87413.7</v>
      </c>
      <c r="V83" s="201">
        <f t="shared" si="22"/>
        <v>1105833.84</v>
      </c>
      <c r="W83" s="125">
        <f t="shared" si="23"/>
        <v>634606.45</v>
      </c>
      <c r="X83" s="202">
        <f t="shared" si="18"/>
        <v>1769181.12</v>
      </c>
      <c r="Y83" s="202">
        <f t="shared" si="19"/>
        <v>1297953.73</v>
      </c>
      <c r="Z83" s="203">
        <f t="shared" si="20"/>
        <v>471227.39000000013</v>
      </c>
      <c r="AA83" s="204">
        <v>2030463.17</v>
      </c>
      <c r="AB83" s="205">
        <f t="shared" si="21"/>
        <v>732509.44</v>
      </c>
      <c r="AC83" s="58">
        <v>2029</v>
      </c>
    </row>
    <row r="84" spans="6:29" ht="11.25">
      <c r="F84" s="170">
        <v>2033</v>
      </c>
      <c r="G84" s="171">
        <f t="shared" si="13"/>
        <v>0</v>
      </c>
      <c r="H84" s="172">
        <f t="shared" si="14"/>
        <v>1695652.16</v>
      </c>
      <c r="I84" s="172">
        <f t="shared" si="15"/>
        <v>2000000</v>
      </c>
      <c r="J84" s="173">
        <f t="shared" si="16"/>
        <v>500000</v>
      </c>
      <c r="K84" s="174">
        <f t="shared" si="17"/>
        <v>4195652.16</v>
      </c>
      <c r="N84" s="58">
        <v>2030</v>
      </c>
      <c r="O84" s="123">
        <v>525828.48</v>
      </c>
      <c r="Q84" s="124">
        <v>384386.72</v>
      </c>
      <c r="R84" s="60">
        <v>441678.08</v>
      </c>
      <c r="S84" s="60">
        <v>151776.03</v>
      </c>
      <c r="T84" s="60">
        <v>234339.04</v>
      </c>
      <c r="U84" s="60">
        <v>82113.7</v>
      </c>
      <c r="V84" s="201">
        <f t="shared" si="22"/>
        <v>1060403.84</v>
      </c>
      <c r="W84" s="125">
        <f t="shared" si="23"/>
        <v>618276.45</v>
      </c>
      <c r="X84" s="202">
        <f t="shared" si="18"/>
        <v>1586232.32</v>
      </c>
      <c r="Y84" s="202">
        <f t="shared" si="19"/>
        <v>1144104.93</v>
      </c>
      <c r="Z84" s="203">
        <f t="shared" si="20"/>
        <v>442127.39000000013</v>
      </c>
      <c r="AA84" s="204">
        <v>1850405.67</v>
      </c>
      <c r="AB84" s="205">
        <f t="shared" si="21"/>
        <v>706300.74</v>
      </c>
      <c r="AC84" s="58">
        <v>2030</v>
      </c>
    </row>
    <row r="85" spans="6:29" ht="11.25">
      <c r="F85" s="170">
        <v>2034</v>
      </c>
      <c r="G85" s="171">
        <f t="shared" si="13"/>
        <v>0</v>
      </c>
      <c r="H85" s="172">
        <f t="shared" si="14"/>
        <v>1695652.16</v>
      </c>
      <c r="I85" s="172">
        <f t="shared" si="15"/>
        <v>2000000</v>
      </c>
      <c r="J85" s="173">
        <f t="shared" si="16"/>
        <v>500000</v>
      </c>
      <c r="K85" s="174">
        <f t="shared" si="17"/>
        <v>4195652.16</v>
      </c>
      <c r="N85" s="58">
        <v>2031</v>
      </c>
      <c r="O85" s="123">
        <v>384094.98</v>
      </c>
      <c r="Q85" s="124">
        <v>383388.74</v>
      </c>
      <c r="R85" s="60">
        <v>411678.08</v>
      </c>
      <c r="S85" s="60">
        <v>141176.03</v>
      </c>
      <c r="T85" s="60">
        <v>219339.04</v>
      </c>
      <c r="U85" s="60">
        <v>76813.7</v>
      </c>
      <c r="V85" s="201">
        <f t="shared" si="22"/>
        <v>1014405.8600000001</v>
      </c>
      <c r="W85" s="125">
        <f t="shared" si="23"/>
        <v>601378.47</v>
      </c>
      <c r="X85" s="202">
        <f t="shared" si="18"/>
        <v>1398500.84</v>
      </c>
      <c r="Y85" s="202">
        <f t="shared" si="19"/>
        <v>985473.45</v>
      </c>
      <c r="Z85" s="203">
        <f t="shared" si="20"/>
        <v>413027.39000000013</v>
      </c>
      <c r="AA85" s="204">
        <v>1665565.49</v>
      </c>
      <c r="AB85" s="205">
        <f t="shared" si="21"/>
        <v>680092.04</v>
      </c>
      <c r="AC85" s="58">
        <v>2031</v>
      </c>
    </row>
    <row r="86" spans="6:29" ht="11.25">
      <c r="F86" s="170">
        <v>2035</v>
      </c>
      <c r="G86" s="171">
        <f t="shared" si="13"/>
        <v>0</v>
      </c>
      <c r="H86" s="172">
        <f t="shared" si="14"/>
        <v>1695652.16</v>
      </c>
      <c r="I86" s="172">
        <f t="shared" si="15"/>
        <v>1000000</v>
      </c>
      <c r="J86" s="173">
        <f t="shared" si="16"/>
        <v>500000</v>
      </c>
      <c r="K86" s="174">
        <f t="shared" si="17"/>
        <v>3195652.16</v>
      </c>
      <c r="N86" s="58">
        <v>2032</v>
      </c>
      <c r="O86" s="123">
        <v>257126.88</v>
      </c>
      <c r="Q86" s="124">
        <v>374069.96</v>
      </c>
      <c r="R86" s="60">
        <v>370356.16</v>
      </c>
      <c r="S86" s="60">
        <v>126900.88</v>
      </c>
      <c r="T86" s="60">
        <v>204339.04</v>
      </c>
      <c r="U86" s="60">
        <v>71716.99</v>
      </c>
      <c r="V86" s="201">
        <f t="shared" si="22"/>
        <v>948765.16</v>
      </c>
      <c r="W86" s="125">
        <f t="shared" si="23"/>
        <v>572687.8300000001</v>
      </c>
      <c r="X86" s="202">
        <f t="shared" si="18"/>
        <v>1205892.04</v>
      </c>
      <c r="Y86" s="202">
        <f t="shared" si="19"/>
        <v>829814.7100000001</v>
      </c>
      <c r="Z86" s="203">
        <f t="shared" si="20"/>
        <v>376077.32999999996</v>
      </c>
      <c r="AA86" s="204">
        <v>1478942.68</v>
      </c>
      <c r="AB86" s="205">
        <f t="shared" si="21"/>
        <v>649127.9699999999</v>
      </c>
      <c r="AC86" s="58">
        <v>2032</v>
      </c>
    </row>
    <row r="87" spans="6:29" ht="11.25">
      <c r="F87" s="170">
        <v>2036</v>
      </c>
      <c r="G87" s="171">
        <f t="shared" si="13"/>
        <v>0</v>
      </c>
      <c r="H87" s="172">
        <f t="shared" si="14"/>
        <v>1695652.16</v>
      </c>
      <c r="I87" s="172">
        <f t="shared" si="15"/>
        <v>1000000</v>
      </c>
      <c r="J87" s="173">
        <f t="shared" si="16"/>
        <v>500000</v>
      </c>
      <c r="K87" s="174">
        <f t="shared" si="17"/>
        <v>3195652.16</v>
      </c>
      <c r="N87" s="58">
        <v>2033</v>
      </c>
      <c r="O87" s="123">
        <v>187589.07</v>
      </c>
      <c r="Q87" s="124">
        <v>344455.92</v>
      </c>
      <c r="R87" s="60">
        <v>310356.16</v>
      </c>
      <c r="S87" s="60">
        <v>105332.05</v>
      </c>
      <c r="T87" s="60">
        <v>189339.04</v>
      </c>
      <c r="U87" s="60">
        <v>66213.7</v>
      </c>
      <c r="V87" s="201">
        <f t="shared" si="22"/>
        <v>844151.12</v>
      </c>
      <c r="W87" s="125">
        <f t="shared" si="23"/>
        <v>516001.67</v>
      </c>
      <c r="X87" s="202">
        <f t="shared" si="18"/>
        <v>1031740.19</v>
      </c>
      <c r="Y87" s="202">
        <f t="shared" si="19"/>
        <v>703590.74</v>
      </c>
      <c r="Z87" s="203">
        <f t="shared" si="20"/>
        <v>328149.44999999995</v>
      </c>
      <c r="AA87" s="204">
        <v>1316193.52</v>
      </c>
      <c r="AB87" s="205">
        <f t="shared" si="21"/>
        <v>612602.78</v>
      </c>
      <c r="AC87" s="58">
        <v>2033</v>
      </c>
    </row>
    <row r="88" spans="6:29" ht="11.25">
      <c r="F88" s="170">
        <v>2037</v>
      </c>
      <c r="G88" s="171">
        <f t="shared" si="13"/>
        <v>0</v>
      </c>
      <c r="H88" s="172">
        <f t="shared" si="14"/>
        <v>769565.2</v>
      </c>
      <c r="I88" s="172">
        <f t="shared" si="15"/>
        <v>1000000</v>
      </c>
      <c r="J88" s="173">
        <f t="shared" si="16"/>
        <v>500000</v>
      </c>
      <c r="K88" s="174">
        <f t="shared" si="17"/>
        <v>2269565.2</v>
      </c>
      <c r="N88" s="58">
        <v>2034</v>
      </c>
      <c r="O88" s="123">
        <v>155371.68</v>
      </c>
      <c r="Q88" s="124">
        <v>301455.92</v>
      </c>
      <c r="R88" s="60">
        <v>250356.16</v>
      </c>
      <c r="S88" s="60">
        <v>84132.05</v>
      </c>
      <c r="T88" s="60">
        <v>174339.04</v>
      </c>
      <c r="U88" s="60">
        <v>60913.7</v>
      </c>
      <c r="V88" s="201">
        <f t="shared" si="22"/>
        <v>726151.12</v>
      </c>
      <c r="W88" s="125">
        <f t="shared" si="23"/>
        <v>446501.67</v>
      </c>
      <c r="X88" s="202">
        <f t="shared" si="18"/>
        <v>881522.8</v>
      </c>
      <c r="Y88" s="202">
        <f t="shared" si="19"/>
        <v>601873.35</v>
      </c>
      <c r="Z88" s="203">
        <f t="shared" si="20"/>
        <v>279649.45000000007</v>
      </c>
      <c r="AA88" s="204">
        <v>1177293.52</v>
      </c>
      <c r="AB88" s="205">
        <f t="shared" si="21"/>
        <v>575420.17</v>
      </c>
      <c r="AC88" s="58">
        <v>2034</v>
      </c>
    </row>
    <row r="89" spans="6:29" ht="11.25">
      <c r="F89" s="170">
        <v>2038</v>
      </c>
      <c r="G89" s="171">
        <f t="shared" si="13"/>
        <v>0</v>
      </c>
      <c r="H89" s="172">
        <f t="shared" si="14"/>
        <v>769565.2</v>
      </c>
      <c r="I89" s="172">
        <f t="shared" si="15"/>
        <v>1000000</v>
      </c>
      <c r="J89" s="173">
        <f t="shared" si="16"/>
        <v>1000000</v>
      </c>
      <c r="K89" s="174">
        <f t="shared" si="17"/>
        <v>2769565.2</v>
      </c>
      <c r="N89" s="58">
        <v>2035</v>
      </c>
      <c r="O89" s="123">
        <v>123154.29</v>
      </c>
      <c r="Q89" s="124">
        <v>258455.92</v>
      </c>
      <c r="R89" s="60">
        <v>201678.08</v>
      </c>
      <c r="S89" s="60">
        <v>66976.03</v>
      </c>
      <c r="T89" s="60">
        <v>159339.04</v>
      </c>
      <c r="U89" s="60">
        <v>55613.7</v>
      </c>
      <c r="V89" s="201">
        <f t="shared" si="22"/>
        <v>619473.04</v>
      </c>
      <c r="W89" s="125">
        <f t="shared" si="23"/>
        <v>381045.65</v>
      </c>
      <c r="X89" s="202">
        <f t="shared" si="18"/>
        <v>742627.3300000001</v>
      </c>
      <c r="Y89" s="202">
        <f t="shared" si="19"/>
        <v>504199.94</v>
      </c>
      <c r="Z89" s="203">
        <f t="shared" si="20"/>
        <v>238427.39000000007</v>
      </c>
      <c r="AA89" s="204">
        <v>1042544.89</v>
      </c>
      <c r="AB89" s="205">
        <f t="shared" si="21"/>
        <v>538344.95</v>
      </c>
      <c r="AC89" s="58">
        <v>2035</v>
      </c>
    </row>
    <row r="90" spans="6:29" ht="11.25">
      <c r="F90" s="170">
        <v>2039</v>
      </c>
      <c r="G90" s="171">
        <f t="shared" si="13"/>
        <v>0</v>
      </c>
      <c r="H90" s="172">
        <f t="shared" si="14"/>
        <v>769565.2</v>
      </c>
      <c r="I90" s="172">
        <f t="shared" si="15"/>
        <v>1000000</v>
      </c>
      <c r="J90" s="173">
        <f t="shared" si="16"/>
        <v>1000000</v>
      </c>
      <c r="K90" s="174">
        <f t="shared" si="17"/>
        <v>2769565.2</v>
      </c>
      <c r="N90" s="58">
        <v>2036</v>
      </c>
      <c r="O90" s="123">
        <v>91219.35</v>
      </c>
      <c r="Q90" s="124">
        <v>215455.92</v>
      </c>
      <c r="R90" s="60">
        <v>171678.08</v>
      </c>
      <c r="S90" s="60">
        <v>56541.56</v>
      </c>
      <c r="T90" s="60">
        <v>144339.04</v>
      </c>
      <c r="U90" s="60">
        <v>50458.9</v>
      </c>
      <c r="V90" s="201">
        <f t="shared" si="22"/>
        <v>531473.04</v>
      </c>
      <c r="W90" s="125">
        <f t="shared" si="23"/>
        <v>322456.38</v>
      </c>
      <c r="X90" s="202">
        <f t="shared" si="18"/>
        <v>622692.39</v>
      </c>
      <c r="Y90" s="202">
        <f t="shared" si="19"/>
        <v>413675.73</v>
      </c>
      <c r="Z90" s="203">
        <f t="shared" si="20"/>
        <v>209016.66000000003</v>
      </c>
      <c r="AA90" s="204">
        <v>914914.01</v>
      </c>
      <c r="AB90" s="205">
        <f t="shared" si="21"/>
        <v>501238.28</v>
      </c>
      <c r="AC90" s="58">
        <v>2036</v>
      </c>
    </row>
    <row r="91" spans="6:29" ht="11.25">
      <c r="F91" s="170">
        <v>2040</v>
      </c>
      <c r="G91" s="171">
        <f t="shared" si="13"/>
        <v>0</v>
      </c>
      <c r="H91" s="172">
        <f t="shared" si="14"/>
        <v>769565.2</v>
      </c>
      <c r="I91" s="172">
        <f t="shared" si="15"/>
        <v>1000000</v>
      </c>
      <c r="J91" s="173">
        <f t="shared" si="16"/>
        <v>1000000</v>
      </c>
      <c r="K91" s="174">
        <f t="shared" si="17"/>
        <v>2769565.2</v>
      </c>
      <c r="N91" s="58">
        <v>2037</v>
      </c>
      <c r="O91" s="123">
        <v>65360.06</v>
      </c>
      <c r="Q91" s="124">
        <v>172455.92</v>
      </c>
      <c r="R91" s="60">
        <v>141678.08</v>
      </c>
      <c r="S91" s="60">
        <v>45776.03</v>
      </c>
      <c r="T91" s="60">
        <v>129339.04</v>
      </c>
      <c r="U91" s="60">
        <v>45013.7</v>
      </c>
      <c r="V91" s="201">
        <f t="shared" si="22"/>
        <v>443473.04</v>
      </c>
      <c r="W91" s="125">
        <f t="shared" si="23"/>
        <v>263245.65</v>
      </c>
      <c r="X91" s="202">
        <f t="shared" si="18"/>
        <v>508833.1</v>
      </c>
      <c r="Y91" s="202">
        <f t="shared" si="19"/>
        <v>328605.71</v>
      </c>
      <c r="Z91" s="203">
        <f t="shared" si="20"/>
        <v>180227.38999999996</v>
      </c>
      <c r="AA91" s="204">
        <v>796927.07</v>
      </c>
      <c r="AB91" s="205">
        <f t="shared" si="21"/>
        <v>468321.3599999999</v>
      </c>
      <c r="AC91" s="58">
        <v>2037</v>
      </c>
    </row>
    <row r="92" spans="6:29" ht="11.25">
      <c r="F92" s="170">
        <v>2041</v>
      </c>
      <c r="G92" s="171">
        <f t="shared" si="13"/>
        <v>0</v>
      </c>
      <c r="H92" s="172">
        <f t="shared" si="14"/>
        <v>644869.6</v>
      </c>
      <c r="I92" s="172">
        <f t="shared" si="15"/>
        <v>699999.9999999999</v>
      </c>
      <c r="J92" s="173">
        <f t="shared" si="16"/>
        <v>1000000</v>
      </c>
      <c r="K92" s="174">
        <f t="shared" si="17"/>
        <v>2344869.5999999996</v>
      </c>
      <c r="N92" s="58">
        <v>2038</v>
      </c>
      <c r="O92" s="123">
        <v>50738.32</v>
      </c>
      <c r="Q92" s="124">
        <v>129455.92</v>
      </c>
      <c r="R92" s="60">
        <v>111678.08</v>
      </c>
      <c r="S92" s="60">
        <v>35176.03</v>
      </c>
      <c r="T92" s="60">
        <v>108678.08</v>
      </c>
      <c r="U92" s="60">
        <v>38356.03</v>
      </c>
      <c r="V92" s="201">
        <f t="shared" si="22"/>
        <v>349812.08</v>
      </c>
      <c r="W92" s="125">
        <f t="shared" si="23"/>
        <v>202987.98</v>
      </c>
      <c r="X92" s="202">
        <f t="shared" si="18"/>
        <v>400550.4</v>
      </c>
      <c r="Y92" s="202">
        <f t="shared" si="19"/>
        <v>253726.30000000002</v>
      </c>
      <c r="Z92" s="203">
        <f t="shared" si="20"/>
        <v>146824.1</v>
      </c>
      <c r="AA92" s="204">
        <v>690346.11</v>
      </c>
      <c r="AB92" s="205">
        <f t="shared" si="21"/>
        <v>436619.80999999994</v>
      </c>
      <c r="AC92" s="58">
        <v>2038</v>
      </c>
    </row>
    <row r="93" spans="6:29" ht="11.25">
      <c r="F93" s="175" t="s">
        <v>42</v>
      </c>
      <c r="G93" s="176">
        <f>SUM(G72:G92)</f>
        <v>61621350</v>
      </c>
      <c r="H93" s="177">
        <f>SUM(H72:H92)</f>
        <v>14999999.999999996</v>
      </c>
      <c r="I93" s="177">
        <f>SUM(I72:I92)</f>
        <v>16900000</v>
      </c>
      <c r="J93" s="176">
        <f>SUM(J72:J92)</f>
        <v>10000000</v>
      </c>
      <c r="K93" s="178">
        <f>SUM(K72:K92)</f>
        <v>103521349.99999999</v>
      </c>
      <c r="N93" s="58">
        <v>2039</v>
      </c>
      <c r="O93" s="123">
        <v>36116.58</v>
      </c>
      <c r="Q93" s="124">
        <v>86455.92</v>
      </c>
      <c r="R93" s="60">
        <v>81678.08</v>
      </c>
      <c r="S93" s="60">
        <v>24576.03</v>
      </c>
      <c r="T93" s="60">
        <v>78678.08</v>
      </c>
      <c r="U93" s="60">
        <v>27756.03</v>
      </c>
      <c r="V93" s="201">
        <f t="shared" si="22"/>
        <v>246812.08000000002</v>
      </c>
      <c r="W93" s="125">
        <f t="shared" si="23"/>
        <v>138787.97999999998</v>
      </c>
      <c r="X93" s="202">
        <f t="shared" si="18"/>
        <v>282928.66000000003</v>
      </c>
      <c r="Y93" s="202">
        <f t="shared" si="19"/>
        <v>174904.56</v>
      </c>
      <c r="Z93" s="203">
        <f t="shared" si="20"/>
        <v>108024.10000000003</v>
      </c>
      <c r="AA93" s="204">
        <v>574426.11</v>
      </c>
      <c r="AB93" s="205">
        <f t="shared" si="21"/>
        <v>399521.55</v>
      </c>
      <c r="AC93" s="58">
        <v>2039</v>
      </c>
    </row>
    <row r="94" spans="14:29" ht="11.25">
      <c r="N94" s="58">
        <v>2040</v>
      </c>
      <c r="O94" s="123">
        <v>21568.85</v>
      </c>
      <c r="Q94" s="124">
        <v>47512.94</v>
      </c>
      <c r="R94" s="60">
        <v>51678.08</v>
      </c>
      <c r="S94" s="60">
        <v>14025.4</v>
      </c>
      <c r="T94" s="60">
        <v>48678.08</v>
      </c>
      <c r="U94" s="60">
        <v>17214.11</v>
      </c>
      <c r="V94" s="201">
        <f t="shared" si="22"/>
        <v>147869.1</v>
      </c>
      <c r="W94" s="125">
        <f t="shared" si="23"/>
        <v>78752.45000000001</v>
      </c>
      <c r="X94" s="202">
        <f t="shared" si="18"/>
        <v>169437.95</v>
      </c>
      <c r="Y94" s="202">
        <f t="shared" si="19"/>
        <v>100321.30000000002</v>
      </c>
      <c r="Z94" s="203">
        <f t="shared" si="20"/>
        <v>69116.65</v>
      </c>
      <c r="AA94" s="204">
        <v>462616.74</v>
      </c>
      <c r="AB94" s="205">
        <f t="shared" si="21"/>
        <v>362295.43999999994</v>
      </c>
      <c r="AC94" s="58">
        <v>2040</v>
      </c>
    </row>
    <row r="95" spans="14:29" ht="11.25">
      <c r="N95" s="58">
        <v>2041</v>
      </c>
      <c r="O95" s="123">
        <v>7714.86</v>
      </c>
      <c r="Q95" s="124">
        <v>17080.48</v>
      </c>
      <c r="R95" s="60">
        <v>20545.89</v>
      </c>
      <c r="S95" s="137">
        <v>3525.59</v>
      </c>
      <c r="T95" s="60">
        <v>18678.08</v>
      </c>
      <c r="U95" s="60">
        <v>6556.02</v>
      </c>
      <c r="V95" s="201">
        <f t="shared" si="22"/>
        <v>56304.45</v>
      </c>
      <c r="W95" s="125">
        <f t="shared" si="23"/>
        <v>27162.09</v>
      </c>
      <c r="X95" s="202">
        <f t="shared" si="18"/>
        <v>64019.31</v>
      </c>
      <c r="Y95" s="202">
        <f t="shared" si="19"/>
        <v>34876.95</v>
      </c>
      <c r="Z95" s="203">
        <f t="shared" si="20"/>
        <v>29142.36</v>
      </c>
      <c r="AA95" s="204">
        <v>360444.76</v>
      </c>
      <c r="AB95" s="205">
        <f t="shared" si="21"/>
        <v>325567.81</v>
      </c>
      <c r="AC95" s="58">
        <v>2041</v>
      </c>
    </row>
    <row r="96" spans="14:29" ht="13.5" customHeight="1">
      <c r="N96" s="144"/>
      <c r="O96" s="145">
        <v>13559155.129999999</v>
      </c>
      <c r="Q96" s="125">
        <v>6023632.37</v>
      </c>
      <c r="R96" s="125">
        <v>6574607.850000001</v>
      </c>
      <c r="S96" s="88">
        <f>SUM(S75:S95)</f>
        <v>2252330.5101369857</v>
      </c>
      <c r="T96" s="125">
        <v>3651780.8200000008</v>
      </c>
      <c r="U96" s="125">
        <f>SUM(U75:U95)</f>
        <v>1297604.1199999999</v>
      </c>
      <c r="V96" s="206">
        <f t="shared" si="22"/>
        <v>16250021.040000001</v>
      </c>
      <c r="W96" s="125">
        <f>SUM(W75:W95)</f>
        <v>9573567.000136986</v>
      </c>
      <c r="X96" s="207">
        <f t="shared" si="18"/>
        <v>29809176.17</v>
      </c>
      <c r="Y96" s="207">
        <f t="shared" si="19"/>
        <v>23132722.130136985</v>
      </c>
      <c r="Z96" s="208">
        <f t="shared" si="20"/>
        <v>6676454.039863016</v>
      </c>
      <c r="AA96" s="125">
        <f>SUM(AA75:AA95)</f>
        <v>34037874.349999994</v>
      </c>
      <c r="AB96" s="205">
        <f t="shared" si="21"/>
        <v>10905152.219863009</v>
      </c>
      <c r="AC96"/>
    </row>
    <row r="97" spans="14:29" ht="12.75">
      <c r="N97" s="11"/>
      <c r="O97" s="154"/>
      <c r="Q97" s="188"/>
      <c r="R97" s="133"/>
      <c r="S97" s="133"/>
      <c r="T97" s="133"/>
      <c r="U97" s="133"/>
      <c r="V97" s="133"/>
      <c r="W97" s="133"/>
      <c r="X97" s="133"/>
      <c r="Y97" s="133"/>
      <c r="Z97" s="188"/>
      <c r="AA97" s="188"/>
      <c r="AB97" s="188"/>
      <c r="AC97"/>
    </row>
  </sheetData>
  <sheetProtection selectLockedCells="1" selectUnlockedCells="1"/>
  <mergeCells count="9">
    <mergeCell ref="R71:R72"/>
    <mergeCell ref="T71:T72"/>
    <mergeCell ref="C1:G1"/>
    <mergeCell ref="L1:Q1"/>
    <mergeCell ref="A3:B3"/>
    <mergeCell ref="B4:F4"/>
    <mergeCell ref="C7:F7"/>
    <mergeCell ref="G7:J7"/>
    <mergeCell ref="K7:M7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8.00390625" style="1" customWidth="1"/>
    <col min="2" max="2" width="12.28125" style="1" hidden="1" customWidth="1"/>
    <col min="3" max="3" width="11.28125" style="1" customWidth="1"/>
    <col min="4" max="4" width="12.28125" style="1" customWidth="1"/>
    <col min="5" max="5" width="10.8515625" style="1" hidden="1" customWidth="1"/>
    <col min="6" max="6" width="10.7109375" style="1" hidden="1" customWidth="1"/>
    <col min="7" max="7" width="12.00390625" style="1" customWidth="1"/>
    <col min="8" max="8" width="13.00390625" style="1" customWidth="1"/>
    <col min="9" max="9" width="16.421875" style="1" customWidth="1"/>
    <col min="10" max="11" width="12.57421875" style="1" customWidth="1"/>
    <col min="12" max="12" width="14.00390625" style="1" customWidth="1"/>
    <col min="13" max="13" width="12.7109375" style="1" hidden="1" customWidth="1"/>
    <col min="14" max="18" width="12.7109375" style="1" customWidth="1"/>
    <col min="19" max="19" width="13.57421875" style="1" customWidth="1"/>
    <col min="20" max="20" width="13.421875" style="1" customWidth="1"/>
    <col min="21" max="21" width="13.7109375" style="1" hidden="1" customWidth="1"/>
    <col min="22" max="22" width="12.421875" style="1" customWidth="1"/>
    <col min="23" max="24" width="13.57421875" style="1" customWidth="1"/>
    <col min="25" max="25" width="11.8515625" style="1" customWidth="1"/>
    <col min="26" max="26" width="15.140625" style="1" customWidth="1"/>
    <col min="27" max="27" width="13.140625" style="1" customWidth="1"/>
    <col min="28" max="28" width="11.8515625" style="1" customWidth="1"/>
    <col min="29" max="29" width="10.421875" style="1" customWidth="1"/>
    <col min="30" max="16384" width="9.140625" style="1" customWidth="1"/>
  </cols>
  <sheetData>
    <row r="1" spans="3:19" ht="21">
      <c r="C1" s="846" t="s">
        <v>85</v>
      </c>
      <c r="D1" s="846"/>
      <c r="E1" s="846"/>
      <c r="F1" s="846"/>
      <c r="G1" s="846"/>
      <c r="H1" s="179" t="s">
        <v>86</v>
      </c>
      <c r="I1" s="180"/>
      <c r="L1" s="847" t="s">
        <v>2</v>
      </c>
      <c r="M1" s="847"/>
      <c r="N1" s="847"/>
      <c r="O1" s="847"/>
      <c r="P1" s="847"/>
      <c r="Q1" s="847"/>
      <c r="R1" s="847"/>
      <c r="S1" s="847"/>
    </row>
    <row r="2" spans="4:28" ht="26.25" customHeight="1">
      <c r="D2" s="856" t="s">
        <v>87</v>
      </c>
      <c r="E2" s="856"/>
      <c r="F2" s="856"/>
      <c r="G2" s="856"/>
      <c r="H2" s="856"/>
      <c r="T2" s="3"/>
      <c r="U2" s="3"/>
      <c r="V2" s="4"/>
      <c r="W2" s="5"/>
      <c r="AB2" s="6"/>
    </row>
    <row r="3" spans="1:23" ht="33.75" customHeight="1">
      <c r="A3" s="848" t="s">
        <v>3</v>
      </c>
      <c r="B3" s="848"/>
      <c r="C3" s="7" t="s">
        <v>4</v>
      </c>
      <c r="D3" s="214" t="s">
        <v>4</v>
      </c>
      <c r="E3" s="214" t="s">
        <v>4</v>
      </c>
      <c r="F3" s="215" t="s">
        <v>4</v>
      </c>
      <c r="G3" s="10"/>
      <c r="H3" s="10"/>
      <c r="I3" s="10"/>
      <c r="J3" s="10"/>
      <c r="K3" s="7" t="s">
        <v>4</v>
      </c>
      <c r="L3" s="8"/>
      <c r="M3" s="9" t="s">
        <v>4</v>
      </c>
      <c r="P3" s="9" t="s">
        <v>4</v>
      </c>
      <c r="Q3" s="10"/>
      <c r="R3" s="10"/>
      <c r="T3" s="3"/>
      <c r="U3" s="3"/>
      <c r="V3" s="4"/>
      <c r="W3" s="5"/>
    </row>
    <row r="4" spans="2:23" ht="13.5" customHeight="1">
      <c r="B4" s="849"/>
      <c r="C4" s="849"/>
      <c r="D4" s="849"/>
      <c r="E4" s="849"/>
      <c r="F4" s="849"/>
      <c r="N4" s="857" t="s">
        <v>88</v>
      </c>
      <c r="O4" s="857"/>
      <c r="P4" s="216"/>
      <c r="Q4" s="217"/>
      <c r="R4" s="217"/>
      <c r="T4" s="3"/>
      <c r="U4" s="3"/>
      <c r="V4" s="4"/>
      <c r="W4" s="5"/>
    </row>
    <row r="5" spans="1:18" ht="11.25">
      <c r="A5" s="11" t="s">
        <v>5</v>
      </c>
      <c r="B5" s="11">
        <v>0.65</v>
      </c>
      <c r="C5" s="11">
        <v>2.4</v>
      </c>
      <c r="D5" s="11">
        <v>0.87</v>
      </c>
      <c r="E5" s="11">
        <v>4.22</v>
      </c>
      <c r="F5" s="11">
        <v>4.22</v>
      </c>
      <c r="G5" s="11">
        <v>1.5</v>
      </c>
      <c r="H5" s="11">
        <v>0.9</v>
      </c>
      <c r="I5" s="11">
        <v>1.4</v>
      </c>
      <c r="J5" s="11">
        <v>1.2</v>
      </c>
      <c r="K5" s="218">
        <v>1.64</v>
      </c>
      <c r="M5" s="12">
        <v>1.89</v>
      </c>
      <c r="N5" s="219">
        <v>0.85</v>
      </c>
      <c r="O5" s="219">
        <v>0.85</v>
      </c>
      <c r="P5" s="218">
        <v>1.89</v>
      </c>
      <c r="Q5" s="220"/>
      <c r="R5" s="220"/>
    </row>
    <row r="6" spans="1:18" ht="22.5">
      <c r="A6" s="14" t="s">
        <v>6</v>
      </c>
      <c r="B6" s="11">
        <f>0.65+0.68</f>
        <v>1.33</v>
      </c>
      <c r="C6" s="11">
        <f>2.4+1.56</f>
        <v>3.96</v>
      </c>
      <c r="D6" s="11">
        <f>0.87+1.56</f>
        <v>2.43</v>
      </c>
      <c r="E6" s="11">
        <f>4.22+0.68</f>
        <v>4.8999999999999995</v>
      </c>
      <c r="F6" s="11">
        <f>4.22+0.68</f>
        <v>4.8999999999999995</v>
      </c>
      <c r="G6" s="11">
        <f>1.5+1.87</f>
        <v>3.37</v>
      </c>
      <c r="H6" s="11">
        <f>0.9+1.87</f>
        <v>2.77</v>
      </c>
      <c r="I6" s="11">
        <f>1.4+1.87</f>
        <v>3.27</v>
      </c>
      <c r="J6" s="11">
        <f>1.2+1.87</f>
        <v>3.0700000000000003</v>
      </c>
      <c r="K6" s="221">
        <f>1.64+1.56</f>
        <v>3.2</v>
      </c>
      <c r="M6" s="15">
        <f>1.89+0.26</f>
        <v>2.15</v>
      </c>
      <c r="N6" s="222">
        <f>N5+1.56</f>
        <v>2.41</v>
      </c>
      <c r="O6" s="222">
        <f>O5+1.56</f>
        <v>2.41</v>
      </c>
      <c r="P6" s="221">
        <f>1.89+1.56</f>
        <v>3.45</v>
      </c>
      <c r="Q6" s="223"/>
      <c r="R6" s="223"/>
    </row>
    <row r="7" spans="1:24" ht="15">
      <c r="A7" s="17" t="s">
        <v>7</v>
      </c>
      <c r="C7" s="850" t="s">
        <v>89</v>
      </c>
      <c r="D7" s="850"/>
      <c r="E7" s="850"/>
      <c r="F7" s="850"/>
      <c r="G7" s="851" t="s">
        <v>90</v>
      </c>
      <c r="H7" s="851"/>
      <c r="I7" s="851"/>
      <c r="J7" s="851"/>
      <c r="K7" s="852" t="s">
        <v>88</v>
      </c>
      <c r="L7" s="852"/>
      <c r="M7" s="852"/>
      <c r="N7" s="224"/>
      <c r="O7" s="224"/>
      <c r="P7" s="224"/>
      <c r="Q7" s="18">
        <v>0.03</v>
      </c>
      <c r="R7" s="18">
        <v>0.03</v>
      </c>
      <c r="X7" s="1" t="s">
        <v>11</v>
      </c>
    </row>
    <row r="8" spans="1:23" ht="11.25">
      <c r="A8" s="19"/>
      <c r="B8" s="20">
        <v>5</v>
      </c>
      <c r="C8" s="20">
        <v>10</v>
      </c>
      <c r="D8" s="20">
        <v>11</v>
      </c>
      <c r="E8" s="20">
        <v>12</v>
      </c>
      <c r="F8" s="20">
        <v>13</v>
      </c>
      <c r="G8" s="20">
        <v>14</v>
      </c>
      <c r="H8" s="20">
        <v>15</v>
      </c>
      <c r="I8" s="20">
        <v>16</v>
      </c>
      <c r="J8" s="20">
        <v>17</v>
      </c>
      <c r="K8" s="20">
        <v>18</v>
      </c>
      <c r="L8" s="21">
        <v>19</v>
      </c>
      <c r="M8" s="20">
        <v>20</v>
      </c>
      <c r="N8" s="20">
        <v>21</v>
      </c>
      <c r="O8" s="20">
        <v>22</v>
      </c>
      <c r="P8" s="20">
        <v>20</v>
      </c>
      <c r="Q8" s="20"/>
      <c r="R8" s="20"/>
      <c r="S8" s="20">
        <v>23</v>
      </c>
      <c r="T8" s="22">
        <v>24</v>
      </c>
      <c r="U8" s="23" t="s">
        <v>12</v>
      </c>
      <c r="V8" s="24"/>
      <c r="W8" s="25">
        <v>24</v>
      </c>
    </row>
    <row r="9" spans="1:23" ht="44.25" customHeight="1">
      <c r="A9" s="26" t="s">
        <v>13</v>
      </c>
      <c r="B9" s="27" t="s">
        <v>14</v>
      </c>
      <c r="C9" s="28" t="s">
        <v>15</v>
      </c>
      <c r="D9" s="28" t="s">
        <v>16</v>
      </c>
      <c r="E9" s="27" t="s">
        <v>17</v>
      </c>
      <c r="F9" s="29" t="s">
        <v>18</v>
      </c>
      <c r="G9" s="30" t="s">
        <v>19</v>
      </c>
      <c r="H9" s="31" t="s">
        <v>20</v>
      </c>
      <c r="I9" s="31" t="s">
        <v>21</v>
      </c>
      <c r="J9" s="32" t="s">
        <v>22</v>
      </c>
      <c r="K9" s="33" t="s">
        <v>23</v>
      </c>
      <c r="L9" s="34" t="s">
        <v>24</v>
      </c>
      <c r="M9" s="35" t="s">
        <v>25</v>
      </c>
      <c r="N9" s="36" t="s">
        <v>26</v>
      </c>
      <c r="O9" s="36" t="s">
        <v>27</v>
      </c>
      <c r="P9" s="36" t="s">
        <v>91</v>
      </c>
      <c r="Q9" s="225" t="s">
        <v>92</v>
      </c>
      <c r="R9" s="225" t="s">
        <v>93</v>
      </c>
      <c r="S9" s="226" t="s">
        <v>28</v>
      </c>
      <c r="T9" s="38" t="s">
        <v>29</v>
      </c>
      <c r="U9" s="39"/>
      <c r="V9" s="40" t="s">
        <v>31</v>
      </c>
      <c r="W9" s="41" t="s">
        <v>13</v>
      </c>
    </row>
    <row r="10" spans="1:25" ht="11.25" hidden="1">
      <c r="A10" s="42">
        <v>2020</v>
      </c>
      <c r="B10" s="43">
        <v>1102991</v>
      </c>
      <c r="C10" s="43">
        <f>30000</f>
        <v>30000</v>
      </c>
      <c r="D10" s="43">
        <v>0</v>
      </c>
      <c r="E10" s="43">
        <v>94500</v>
      </c>
      <c r="F10" s="44">
        <v>94500</v>
      </c>
      <c r="G10" s="45">
        <v>2000000</v>
      </c>
      <c r="H10" s="43"/>
      <c r="I10" s="43">
        <v>875000</v>
      </c>
      <c r="J10" s="46"/>
      <c r="K10" s="47"/>
      <c r="L10" s="48">
        <f aca="true" t="shared" si="0" ref="L10:L31">SUM(B10:K10)</f>
        <v>4196991</v>
      </c>
      <c r="M10" s="49"/>
      <c r="N10" s="50"/>
      <c r="O10" s="50"/>
      <c r="P10" s="49"/>
      <c r="Q10" s="65"/>
      <c r="R10" s="65"/>
      <c r="S10" s="51">
        <f>SUM(M10:M10)</f>
        <v>0</v>
      </c>
      <c r="T10" s="52">
        <v>9068982</v>
      </c>
      <c r="U10" s="53"/>
      <c r="V10" s="54">
        <v>0</v>
      </c>
      <c r="W10" s="55">
        <v>2020</v>
      </c>
      <c r="X10" s="57" t="s">
        <v>32</v>
      </c>
      <c r="Y10" s="6"/>
    </row>
    <row r="11" spans="1:24" ht="11.25" hidden="1">
      <c r="A11" s="58">
        <v>2021</v>
      </c>
      <c r="B11" s="59"/>
      <c r="C11" s="227"/>
      <c r="D11" s="227">
        <f>727000*2</f>
        <v>1454000</v>
      </c>
      <c r="E11" s="228">
        <f>126000+618000</f>
        <v>744000</v>
      </c>
      <c r="F11" s="229">
        <f>126000+653591</f>
        <v>779591</v>
      </c>
      <c r="G11" s="230">
        <f>1000000-1000000</f>
        <v>0</v>
      </c>
      <c r="H11" s="227"/>
      <c r="I11" s="227">
        <v>3375000</v>
      </c>
      <c r="J11" s="231"/>
      <c r="K11" s="232">
        <v>21000</v>
      </c>
      <c r="L11" s="48">
        <f t="shared" si="0"/>
        <v>6373591</v>
      </c>
      <c r="M11" s="65"/>
      <c r="N11" s="66"/>
      <c r="O11" s="66"/>
      <c r="P11" s="65"/>
      <c r="Q11" s="65"/>
      <c r="R11" s="65"/>
      <c r="S11" s="67">
        <f aca="true" t="shared" si="1" ref="S11:S32">SUM(N11:P11)</f>
        <v>0</v>
      </c>
      <c r="T11" s="52">
        <f aca="true" t="shared" si="2" ref="T11:T32">L11+S11</f>
        <v>6373591</v>
      </c>
      <c r="U11" s="68"/>
      <c r="V11" s="69">
        <f>U11-T11</f>
        <v>-6373591</v>
      </c>
      <c r="W11" s="70">
        <v>2021</v>
      </c>
      <c r="X11" s="11" t="s">
        <v>34</v>
      </c>
    </row>
    <row r="12" spans="1:24" ht="11.25">
      <c r="A12" s="58">
        <v>2022</v>
      </c>
      <c r="B12" s="43"/>
      <c r="C12" s="43"/>
      <c r="D12" s="227"/>
      <c r="E12" s="43">
        <v>0</v>
      </c>
      <c r="F12" s="44">
        <v>0</v>
      </c>
      <c r="G12" s="45">
        <f>1000000+1000000</f>
        <v>2000000</v>
      </c>
      <c r="H12" s="43"/>
      <c r="I12" s="43"/>
      <c r="J12" s="46"/>
      <c r="K12" s="232">
        <v>15000</v>
      </c>
      <c r="L12" s="48">
        <f t="shared" si="0"/>
        <v>2015000</v>
      </c>
      <c r="M12" s="65"/>
      <c r="N12" s="233">
        <v>50000</v>
      </c>
      <c r="O12" s="233"/>
      <c r="P12" s="233"/>
      <c r="Q12" s="65"/>
      <c r="R12" s="65"/>
      <c r="S12" s="67">
        <f t="shared" si="1"/>
        <v>50000</v>
      </c>
      <c r="T12" s="52">
        <f t="shared" si="2"/>
        <v>2065000</v>
      </c>
      <c r="U12" s="68"/>
      <c r="V12" s="69"/>
      <c r="W12" s="70">
        <v>2022</v>
      </c>
      <c r="X12" s="11"/>
    </row>
    <row r="13" spans="1:24" ht="11.25">
      <c r="A13" s="58">
        <v>2023</v>
      </c>
      <c r="B13" s="43"/>
      <c r="C13" s="43">
        <v>900000</v>
      </c>
      <c r="D13" s="227">
        <f>2908759-1454000</f>
        <v>1454759</v>
      </c>
      <c r="E13" s="43"/>
      <c r="F13" s="44"/>
      <c r="G13" s="45">
        <v>2000000</v>
      </c>
      <c r="H13" s="43"/>
      <c r="I13" s="43"/>
      <c r="J13" s="46"/>
      <c r="K13" s="232">
        <v>25000</v>
      </c>
      <c r="L13" s="48">
        <f t="shared" si="0"/>
        <v>4379759</v>
      </c>
      <c r="M13" s="65"/>
      <c r="N13" s="233">
        <v>100000</v>
      </c>
      <c r="O13" s="233">
        <v>200000</v>
      </c>
      <c r="P13" s="233">
        <v>50000</v>
      </c>
      <c r="Q13" s="65"/>
      <c r="R13" s="65"/>
      <c r="S13" s="67">
        <f t="shared" si="1"/>
        <v>350000</v>
      </c>
      <c r="T13" s="52">
        <f t="shared" si="2"/>
        <v>4729759</v>
      </c>
      <c r="U13" s="68"/>
      <c r="V13" s="69"/>
      <c r="W13" s="70">
        <v>2023</v>
      </c>
      <c r="X13" s="11"/>
    </row>
    <row r="14" spans="1:24" ht="11.25">
      <c r="A14" s="58">
        <v>2024</v>
      </c>
      <c r="B14" s="43"/>
      <c r="C14" s="43"/>
      <c r="D14" s="43"/>
      <c r="E14" s="43"/>
      <c r="F14" s="44"/>
      <c r="G14" s="45">
        <v>1500000</v>
      </c>
      <c r="H14" s="43">
        <v>2500000</v>
      </c>
      <c r="I14" s="43">
        <f>1875000</f>
        <v>1875000</v>
      </c>
      <c r="J14" s="46"/>
      <c r="K14" s="232">
        <v>65000</v>
      </c>
      <c r="L14" s="48">
        <f t="shared" si="0"/>
        <v>5940000</v>
      </c>
      <c r="M14" s="65"/>
      <c r="N14" s="233">
        <v>150000</v>
      </c>
      <c r="O14" s="233">
        <v>200000</v>
      </c>
      <c r="P14" s="233">
        <v>50000</v>
      </c>
      <c r="Q14" s="65"/>
      <c r="R14" s="65"/>
      <c r="S14" s="67">
        <f t="shared" si="1"/>
        <v>400000</v>
      </c>
      <c r="T14" s="52">
        <f t="shared" si="2"/>
        <v>6340000</v>
      </c>
      <c r="U14" s="68"/>
      <c r="V14" s="69"/>
      <c r="W14" s="70">
        <v>2024</v>
      </c>
      <c r="X14" s="11" t="s">
        <v>35</v>
      </c>
    </row>
    <row r="15" spans="1:24" ht="11.25">
      <c r="A15" s="58">
        <v>2025</v>
      </c>
      <c r="B15" s="43"/>
      <c r="C15" s="43"/>
      <c r="D15" s="43"/>
      <c r="E15" s="43"/>
      <c r="F15" s="44"/>
      <c r="G15" s="45"/>
      <c r="H15" s="43">
        <v>2500000</v>
      </c>
      <c r="I15" s="43">
        <f>1875000</f>
        <v>1875000</v>
      </c>
      <c r="J15" s="46"/>
      <c r="K15" s="232">
        <v>65000</v>
      </c>
      <c r="L15" s="48">
        <f t="shared" si="0"/>
        <v>4440000</v>
      </c>
      <c r="M15" s="65"/>
      <c r="N15" s="233">
        <v>150000</v>
      </c>
      <c r="O15" s="233">
        <v>200000</v>
      </c>
      <c r="P15" s="233">
        <v>100000</v>
      </c>
      <c r="Q15" s="65"/>
      <c r="R15" s="65"/>
      <c r="S15" s="67">
        <f t="shared" si="1"/>
        <v>450000</v>
      </c>
      <c r="T15" s="52">
        <f t="shared" si="2"/>
        <v>4890000</v>
      </c>
      <c r="U15" s="68"/>
      <c r="V15" s="69"/>
      <c r="W15" s="70">
        <v>2025</v>
      </c>
      <c r="X15" s="11" t="s">
        <v>36</v>
      </c>
    </row>
    <row r="16" spans="1:24" ht="11.25">
      <c r="A16" s="58">
        <v>2026</v>
      </c>
      <c r="B16" s="43"/>
      <c r="C16" s="43"/>
      <c r="D16" s="43"/>
      <c r="E16" s="43"/>
      <c r="F16" s="44"/>
      <c r="G16" s="45"/>
      <c r="H16" s="43">
        <v>2500000</v>
      </c>
      <c r="I16" s="43">
        <v>1875000</v>
      </c>
      <c r="J16" s="46"/>
      <c r="K16" s="232">
        <v>65000</v>
      </c>
      <c r="L16" s="48">
        <f t="shared" si="0"/>
        <v>4440000</v>
      </c>
      <c r="M16" s="65"/>
      <c r="N16" s="233">
        <v>200000</v>
      </c>
      <c r="O16" s="233">
        <v>200000</v>
      </c>
      <c r="P16" s="233">
        <v>100000</v>
      </c>
      <c r="Q16" s="65"/>
      <c r="R16" s="65"/>
      <c r="S16" s="67">
        <f t="shared" si="1"/>
        <v>500000</v>
      </c>
      <c r="T16" s="52">
        <f t="shared" si="2"/>
        <v>4940000</v>
      </c>
      <c r="U16" s="68"/>
      <c r="V16" s="69"/>
      <c r="W16" s="70">
        <v>2026</v>
      </c>
      <c r="X16" s="11" t="s">
        <v>37</v>
      </c>
    </row>
    <row r="17" spans="1:24" ht="11.25">
      <c r="A17" s="58">
        <v>2027</v>
      </c>
      <c r="B17" s="43"/>
      <c r="C17" s="43"/>
      <c r="D17" s="43"/>
      <c r="E17" s="43"/>
      <c r="F17" s="44"/>
      <c r="G17" s="45"/>
      <c r="H17" s="43">
        <v>2500000</v>
      </c>
      <c r="I17" s="43">
        <v>2000000</v>
      </c>
      <c r="J17" s="46">
        <v>1875000</v>
      </c>
      <c r="K17" s="232">
        <v>293000</v>
      </c>
      <c r="L17" s="48">
        <f t="shared" si="0"/>
        <v>6668000</v>
      </c>
      <c r="M17" s="65"/>
      <c r="N17" s="233">
        <v>200000</v>
      </c>
      <c r="O17" s="233">
        <v>200000</v>
      </c>
      <c r="P17" s="233">
        <f>200000</f>
        <v>200000</v>
      </c>
      <c r="Q17" s="65"/>
      <c r="R17" s="65"/>
      <c r="S17" s="67">
        <f t="shared" si="1"/>
        <v>600000</v>
      </c>
      <c r="T17" s="52">
        <f t="shared" si="2"/>
        <v>7268000</v>
      </c>
      <c r="U17" s="68"/>
      <c r="V17" s="69"/>
      <c r="W17" s="70">
        <v>2027</v>
      </c>
      <c r="X17" s="72" t="s">
        <v>38</v>
      </c>
    </row>
    <row r="18" spans="1:24" ht="11.25">
      <c r="A18" s="58">
        <v>2028</v>
      </c>
      <c r="B18" s="43"/>
      <c r="C18" s="43"/>
      <c r="D18" s="43"/>
      <c r="E18" s="43"/>
      <c r="F18" s="44"/>
      <c r="G18" s="45"/>
      <c r="H18" s="43"/>
      <c r="I18" s="43">
        <v>2000000</v>
      </c>
      <c r="J18" s="46">
        <v>5100000</v>
      </c>
      <c r="K18" s="232">
        <v>293000</v>
      </c>
      <c r="L18" s="48">
        <f t="shared" si="0"/>
        <v>7393000</v>
      </c>
      <c r="M18" s="65"/>
      <c r="N18" s="233">
        <v>350000</v>
      </c>
      <c r="O18" s="233">
        <v>500000</v>
      </c>
      <c r="P18" s="233">
        <v>200000</v>
      </c>
      <c r="Q18" s="65"/>
      <c r="R18" s="65"/>
      <c r="S18" s="67">
        <f t="shared" si="1"/>
        <v>1050000</v>
      </c>
      <c r="T18" s="52">
        <f t="shared" si="2"/>
        <v>8443000</v>
      </c>
      <c r="U18" s="68"/>
      <c r="V18" s="69"/>
      <c r="W18" s="70">
        <v>2028</v>
      </c>
      <c r="X18" s="72" t="s">
        <v>39</v>
      </c>
    </row>
    <row r="19" spans="1:24" ht="11.25">
      <c r="A19" s="58">
        <v>2029</v>
      </c>
      <c r="B19" s="43"/>
      <c r="C19" s="43"/>
      <c r="D19" s="43"/>
      <c r="E19" s="43"/>
      <c r="F19" s="44"/>
      <c r="G19" s="45"/>
      <c r="H19" s="43"/>
      <c r="I19" s="43">
        <v>1375000</v>
      </c>
      <c r="J19" s="46">
        <v>5100000</v>
      </c>
      <c r="K19" s="232">
        <v>652000</v>
      </c>
      <c r="L19" s="48">
        <f t="shared" si="0"/>
        <v>7127000</v>
      </c>
      <c r="M19" s="65"/>
      <c r="N19" s="233">
        <v>1000000</v>
      </c>
      <c r="O19" s="233">
        <v>500000</v>
      </c>
      <c r="P19" s="233">
        <v>200000</v>
      </c>
      <c r="Q19" s="65"/>
      <c r="R19" s="65"/>
      <c r="S19" s="67">
        <f t="shared" si="1"/>
        <v>1700000</v>
      </c>
      <c r="T19" s="52">
        <f t="shared" si="2"/>
        <v>8827000</v>
      </c>
      <c r="U19" s="68"/>
      <c r="V19" s="69"/>
      <c r="W19" s="70">
        <v>2029</v>
      </c>
      <c r="X19" s="72" t="s">
        <v>40</v>
      </c>
    </row>
    <row r="20" spans="1:24" ht="11.25">
      <c r="A20" s="58">
        <v>2030</v>
      </c>
      <c r="B20" s="43"/>
      <c r="C20" s="43"/>
      <c r="D20" s="43"/>
      <c r="E20" s="43"/>
      <c r="F20" s="44"/>
      <c r="G20" s="45"/>
      <c r="H20" s="43"/>
      <c r="I20" s="43">
        <v>1375000</v>
      </c>
      <c r="J20" s="46">
        <v>5323000</v>
      </c>
      <c r="K20" s="232">
        <v>652000</v>
      </c>
      <c r="L20" s="48">
        <f t="shared" si="0"/>
        <v>7350000</v>
      </c>
      <c r="M20" s="65"/>
      <c r="N20" s="233">
        <v>1000000</v>
      </c>
      <c r="O20" s="233">
        <v>500000</v>
      </c>
      <c r="P20" s="233">
        <v>200000</v>
      </c>
      <c r="Q20" s="65"/>
      <c r="R20" s="65"/>
      <c r="S20" s="67">
        <f t="shared" si="1"/>
        <v>1700000</v>
      </c>
      <c r="T20" s="52">
        <f t="shared" si="2"/>
        <v>9050000</v>
      </c>
      <c r="U20" s="68"/>
      <c r="V20" s="69"/>
      <c r="W20" s="70">
        <v>2030</v>
      </c>
      <c r="X20" s="72" t="s">
        <v>41</v>
      </c>
    </row>
    <row r="21" spans="1:23" ht="11.25">
      <c r="A21" s="58">
        <v>2031</v>
      </c>
      <c r="B21" s="43"/>
      <c r="C21" s="43"/>
      <c r="D21" s="43"/>
      <c r="E21" s="43"/>
      <c r="F21" s="44"/>
      <c r="G21" s="45"/>
      <c r="H21" s="43"/>
      <c r="I21" s="43">
        <v>0</v>
      </c>
      <c r="J21" s="46">
        <v>5700000</v>
      </c>
      <c r="K21" s="232">
        <v>652000</v>
      </c>
      <c r="L21" s="48">
        <f t="shared" si="0"/>
        <v>6352000</v>
      </c>
      <c r="M21" s="65"/>
      <c r="N21" s="233">
        <v>1000000</v>
      </c>
      <c r="O21" s="233">
        <v>500000</v>
      </c>
      <c r="P21" s="233">
        <v>200000</v>
      </c>
      <c r="Q21" s="65"/>
      <c r="R21" s="65"/>
      <c r="S21" s="67">
        <f t="shared" si="1"/>
        <v>1700000</v>
      </c>
      <c r="T21" s="52">
        <f t="shared" si="2"/>
        <v>8052000</v>
      </c>
      <c r="U21" s="68"/>
      <c r="V21" s="69"/>
      <c r="W21" s="70">
        <v>2031</v>
      </c>
    </row>
    <row r="22" spans="1:23" ht="11.25">
      <c r="A22" s="58">
        <v>2032</v>
      </c>
      <c r="B22" s="43"/>
      <c r="C22" s="43"/>
      <c r="D22" s="43"/>
      <c r="E22" s="43"/>
      <c r="F22" s="44"/>
      <c r="G22" s="45"/>
      <c r="H22" s="43"/>
      <c r="I22" s="43"/>
      <c r="J22" s="46">
        <v>1941000</v>
      </c>
      <c r="K22" s="232">
        <v>1695000</v>
      </c>
      <c r="L22" s="48">
        <f t="shared" si="0"/>
        <v>3636000</v>
      </c>
      <c r="M22" s="65"/>
      <c r="N22" s="233">
        <v>2000000</v>
      </c>
      <c r="O22" s="233">
        <v>500000</v>
      </c>
      <c r="P22" s="233">
        <v>1000000</v>
      </c>
      <c r="Q22" s="65"/>
      <c r="R22" s="65"/>
      <c r="S22" s="67">
        <f t="shared" si="1"/>
        <v>3500000</v>
      </c>
      <c r="T22" s="52">
        <f t="shared" si="2"/>
        <v>7136000</v>
      </c>
      <c r="U22" s="68"/>
      <c r="V22" s="69"/>
      <c r="W22" s="70">
        <v>2032</v>
      </c>
    </row>
    <row r="23" spans="1:23" ht="11.25">
      <c r="A23" s="58">
        <v>2033</v>
      </c>
      <c r="B23" s="43"/>
      <c r="C23" s="43"/>
      <c r="D23" s="43"/>
      <c r="E23" s="43"/>
      <c r="F23" s="44"/>
      <c r="G23" s="45"/>
      <c r="H23" s="43"/>
      <c r="I23" s="43">
        <v>0</v>
      </c>
      <c r="J23" s="46"/>
      <c r="K23" s="232">
        <v>1695000</v>
      </c>
      <c r="L23" s="48">
        <f t="shared" si="0"/>
        <v>1695000</v>
      </c>
      <c r="M23" s="65"/>
      <c r="N23" s="233">
        <v>2000000</v>
      </c>
      <c r="O23" s="233">
        <v>500000</v>
      </c>
      <c r="P23" s="233">
        <v>2000000</v>
      </c>
      <c r="Q23" s="65"/>
      <c r="R23" s="65"/>
      <c r="S23" s="67">
        <f t="shared" si="1"/>
        <v>4500000</v>
      </c>
      <c r="T23" s="52">
        <f t="shared" si="2"/>
        <v>6195000</v>
      </c>
      <c r="U23" s="68"/>
      <c r="V23" s="69"/>
      <c r="W23" s="70">
        <v>2033</v>
      </c>
    </row>
    <row r="24" spans="1:23" ht="11.25">
      <c r="A24" s="58">
        <v>2034</v>
      </c>
      <c r="B24" s="43"/>
      <c r="C24" s="43"/>
      <c r="D24" s="43"/>
      <c r="E24" s="43"/>
      <c r="F24" s="44"/>
      <c r="G24" s="45"/>
      <c r="H24" s="43"/>
      <c r="I24" s="43">
        <v>0</v>
      </c>
      <c r="J24" s="46"/>
      <c r="K24" s="232">
        <v>1695000</v>
      </c>
      <c r="L24" s="48">
        <f t="shared" si="0"/>
        <v>1695000</v>
      </c>
      <c r="M24" s="65"/>
      <c r="N24" s="233">
        <v>2000000</v>
      </c>
      <c r="O24" s="233">
        <v>500000</v>
      </c>
      <c r="P24" s="233">
        <v>2000000</v>
      </c>
      <c r="Q24" s="65"/>
      <c r="R24" s="65"/>
      <c r="S24" s="67">
        <f t="shared" si="1"/>
        <v>4500000</v>
      </c>
      <c r="T24" s="52">
        <f t="shared" si="2"/>
        <v>6195000</v>
      </c>
      <c r="U24" s="68"/>
      <c r="V24" s="69"/>
      <c r="W24" s="70">
        <v>2034</v>
      </c>
    </row>
    <row r="25" spans="1:23" ht="11.25">
      <c r="A25" s="58">
        <v>2035</v>
      </c>
      <c r="B25" s="43"/>
      <c r="C25" s="43"/>
      <c r="D25" s="43"/>
      <c r="E25" s="43"/>
      <c r="F25" s="44"/>
      <c r="G25" s="45"/>
      <c r="H25" s="43"/>
      <c r="I25" s="43">
        <v>0</v>
      </c>
      <c r="J25" s="46"/>
      <c r="K25" s="232">
        <v>1695000</v>
      </c>
      <c r="L25" s="48">
        <f t="shared" si="0"/>
        <v>1695000</v>
      </c>
      <c r="M25" s="65"/>
      <c r="N25" s="233">
        <v>1000000</v>
      </c>
      <c r="O25" s="233">
        <v>500000</v>
      </c>
      <c r="P25" s="233">
        <v>2000000</v>
      </c>
      <c r="Q25" s="65"/>
      <c r="R25" s="65"/>
      <c r="S25" s="67">
        <f t="shared" si="1"/>
        <v>3500000</v>
      </c>
      <c r="T25" s="52">
        <f t="shared" si="2"/>
        <v>5195000</v>
      </c>
      <c r="U25" s="68"/>
      <c r="V25" s="69"/>
      <c r="W25" s="70">
        <v>2035</v>
      </c>
    </row>
    <row r="26" spans="1:23" ht="11.25">
      <c r="A26" s="58">
        <v>2036</v>
      </c>
      <c r="B26" s="43"/>
      <c r="C26" s="43"/>
      <c r="D26" s="43"/>
      <c r="E26" s="43"/>
      <c r="F26" s="44"/>
      <c r="G26" s="45"/>
      <c r="H26" s="43"/>
      <c r="I26" s="43">
        <v>0</v>
      </c>
      <c r="J26" s="46"/>
      <c r="K26" s="232">
        <v>1695000</v>
      </c>
      <c r="L26" s="48">
        <f t="shared" si="0"/>
        <v>1695000</v>
      </c>
      <c r="M26" s="65"/>
      <c r="N26" s="233">
        <v>1000000</v>
      </c>
      <c r="O26" s="233">
        <v>500000</v>
      </c>
      <c r="P26" s="233">
        <v>2000000</v>
      </c>
      <c r="Q26" s="65"/>
      <c r="R26" s="65"/>
      <c r="S26" s="67">
        <f t="shared" si="1"/>
        <v>3500000</v>
      </c>
      <c r="T26" s="52">
        <f t="shared" si="2"/>
        <v>5195000</v>
      </c>
      <c r="U26" s="68"/>
      <c r="V26" s="69"/>
      <c r="W26" s="70">
        <v>2036</v>
      </c>
    </row>
    <row r="27" spans="1:26" ht="11.25">
      <c r="A27" s="58">
        <v>2037</v>
      </c>
      <c r="B27" s="43"/>
      <c r="C27" s="43"/>
      <c r="D27" s="43"/>
      <c r="E27" s="43"/>
      <c r="F27" s="44"/>
      <c r="G27" s="45"/>
      <c r="H27" s="43"/>
      <c r="I27" s="43">
        <v>0</v>
      </c>
      <c r="J27" s="46"/>
      <c r="K27" s="232">
        <v>770000</v>
      </c>
      <c r="L27" s="48">
        <f t="shared" si="0"/>
        <v>770000</v>
      </c>
      <c r="M27" s="65"/>
      <c r="N27" s="233">
        <v>1000000</v>
      </c>
      <c r="O27" s="233">
        <v>500000</v>
      </c>
      <c r="P27" s="233">
        <v>2000000</v>
      </c>
      <c r="Q27" s="65"/>
      <c r="R27" s="65"/>
      <c r="S27" s="67">
        <f t="shared" si="1"/>
        <v>3500000</v>
      </c>
      <c r="T27" s="52">
        <f t="shared" si="2"/>
        <v>4270000</v>
      </c>
      <c r="U27" s="68"/>
      <c r="V27" s="69"/>
      <c r="W27" s="70">
        <v>2037</v>
      </c>
      <c r="Z27" s="5"/>
    </row>
    <row r="28" spans="1:26" ht="11.25">
      <c r="A28" s="58">
        <v>2038</v>
      </c>
      <c r="B28" s="43"/>
      <c r="C28" s="43"/>
      <c r="D28" s="43"/>
      <c r="E28" s="43"/>
      <c r="F28" s="44"/>
      <c r="G28" s="45"/>
      <c r="H28" s="43"/>
      <c r="I28" s="43">
        <v>0</v>
      </c>
      <c r="J28" s="46"/>
      <c r="K28" s="232">
        <v>770000</v>
      </c>
      <c r="L28" s="48">
        <f t="shared" si="0"/>
        <v>770000</v>
      </c>
      <c r="M28" s="65"/>
      <c r="N28" s="233">
        <v>1000000</v>
      </c>
      <c r="O28" s="233">
        <v>1000000</v>
      </c>
      <c r="P28" s="233">
        <v>2000000</v>
      </c>
      <c r="Q28" s="65"/>
      <c r="R28" s="65"/>
      <c r="S28" s="67">
        <f t="shared" si="1"/>
        <v>4000000</v>
      </c>
      <c r="T28" s="52">
        <f t="shared" si="2"/>
        <v>4770000</v>
      </c>
      <c r="U28" s="68"/>
      <c r="V28" s="69"/>
      <c r="W28" s="70">
        <v>2038</v>
      </c>
      <c r="Z28" s="5"/>
    </row>
    <row r="29" spans="1:26" ht="11.25">
      <c r="A29" s="58">
        <v>2039</v>
      </c>
      <c r="B29" s="43"/>
      <c r="C29" s="43"/>
      <c r="D29" s="43"/>
      <c r="E29" s="43"/>
      <c r="F29" s="44"/>
      <c r="G29" s="45"/>
      <c r="H29" s="43"/>
      <c r="I29" s="43">
        <v>0</v>
      </c>
      <c r="J29" s="46"/>
      <c r="K29" s="232">
        <v>770000</v>
      </c>
      <c r="L29" s="48">
        <f t="shared" si="0"/>
        <v>770000</v>
      </c>
      <c r="M29" s="65"/>
      <c r="N29" s="233">
        <v>1000000</v>
      </c>
      <c r="O29" s="233">
        <v>1000000</v>
      </c>
      <c r="P29" s="233">
        <v>2000000</v>
      </c>
      <c r="Q29" s="65"/>
      <c r="R29" s="65"/>
      <c r="S29" s="67">
        <f t="shared" si="1"/>
        <v>4000000</v>
      </c>
      <c r="T29" s="52">
        <f t="shared" si="2"/>
        <v>4770000</v>
      </c>
      <c r="U29" s="68"/>
      <c r="V29" s="69"/>
      <c r="W29" s="70">
        <v>2039</v>
      </c>
      <c r="Z29" s="5"/>
    </row>
    <row r="30" spans="1:23" ht="11.25">
      <c r="A30" s="58">
        <v>2040</v>
      </c>
      <c r="B30" s="43"/>
      <c r="C30" s="43"/>
      <c r="D30" s="43"/>
      <c r="E30" s="43"/>
      <c r="F30" s="44"/>
      <c r="G30" s="45"/>
      <c r="H30" s="43"/>
      <c r="I30" s="43">
        <v>0</v>
      </c>
      <c r="J30" s="46"/>
      <c r="K30" s="232">
        <v>770000</v>
      </c>
      <c r="L30" s="48">
        <f t="shared" si="0"/>
        <v>770000</v>
      </c>
      <c r="M30" s="65"/>
      <c r="N30" s="233">
        <v>1000000</v>
      </c>
      <c r="O30" s="233">
        <v>1000000</v>
      </c>
      <c r="P30" s="233">
        <v>1700000</v>
      </c>
      <c r="Q30" s="65"/>
      <c r="R30" s="65"/>
      <c r="S30" s="67">
        <f t="shared" si="1"/>
        <v>3700000</v>
      </c>
      <c r="T30" s="52">
        <f t="shared" si="2"/>
        <v>4470000</v>
      </c>
      <c r="U30" s="68"/>
      <c r="V30" s="69"/>
      <c r="W30" s="70">
        <v>2040</v>
      </c>
    </row>
    <row r="31" spans="1:23" ht="11.25">
      <c r="A31" s="58">
        <v>2041</v>
      </c>
      <c r="B31" s="75"/>
      <c r="C31" s="75"/>
      <c r="D31" s="75"/>
      <c r="E31" s="75"/>
      <c r="F31" s="76"/>
      <c r="G31" s="77"/>
      <c r="H31" s="75"/>
      <c r="I31" s="75"/>
      <c r="J31" s="78"/>
      <c r="K31" s="234">
        <v>647000</v>
      </c>
      <c r="L31" s="48">
        <f t="shared" si="0"/>
        <v>647000</v>
      </c>
      <c r="M31" s="80"/>
      <c r="N31" s="235">
        <f>1100000-306493.82-50000-43506.18</f>
        <v>699999.9999999999</v>
      </c>
      <c r="O31" s="233">
        <v>1000000</v>
      </c>
      <c r="P31" s="233">
        <f>2000000</f>
        <v>2000000</v>
      </c>
      <c r="Q31" s="80"/>
      <c r="R31" s="80"/>
      <c r="S31" s="67">
        <f t="shared" si="1"/>
        <v>3700000</v>
      </c>
      <c r="T31" s="52">
        <f t="shared" si="2"/>
        <v>4347000</v>
      </c>
      <c r="U31" s="83"/>
      <c r="V31" s="69"/>
      <c r="W31" s="70">
        <v>2041</v>
      </c>
    </row>
    <row r="32" spans="1:26" ht="11.25">
      <c r="A32" s="84" t="s">
        <v>42</v>
      </c>
      <c r="B32" s="85">
        <f>SUM(B11:B24)</f>
        <v>0</v>
      </c>
      <c r="C32" s="86">
        <f aca="true" t="shared" si="3" ref="C32:L32">SUM(C12:C31)</f>
        <v>900000</v>
      </c>
      <c r="D32" s="86">
        <f t="shared" si="3"/>
        <v>1454759</v>
      </c>
      <c r="E32" s="86">
        <f t="shared" si="3"/>
        <v>0</v>
      </c>
      <c r="F32" s="86">
        <f t="shared" si="3"/>
        <v>0</v>
      </c>
      <c r="G32" s="86">
        <f t="shared" si="3"/>
        <v>5500000</v>
      </c>
      <c r="H32" s="86">
        <f t="shared" si="3"/>
        <v>10000000</v>
      </c>
      <c r="I32" s="86">
        <f t="shared" si="3"/>
        <v>12375000</v>
      </c>
      <c r="J32" s="86">
        <f t="shared" si="3"/>
        <v>25039000</v>
      </c>
      <c r="K32" s="86">
        <f t="shared" si="3"/>
        <v>14979000</v>
      </c>
      <c r="L32" s="90">
        <f t="shared" si="3"/>
        <v>70247759</v>
      </c>
      <c r="M32" s="85">
        <f>SUM(M10:M31)</f>
        <v>0</v>
      </c>
      <c r="N32" s="85">
        <f>SUM(N10:N31)</f>
        <v>16900000</v>
      </c>
      <c r="O32" s="85">
        <f>SUM(O10:O31)</f>
        <v>10000000</v>
      </c>
      <c r="P32" s="85">
        <f>SUM(P10:P31)</f>
        <v>20000000</v>
      </c>
      <c r="Q32" s="85"/>
      <c r="R32" s="85"/>
      <c r="S32" s="91">
        <f t="shared" si="1"/>
        <v>46900000</v>
      </c>
      <c r="T32" s="92">
        <f t="shared" si="2"/>
        <v>117147759</v>
      </c>
      <c r="U32" s="92"/>
      <c r="V32" s="24"/>
      <c r="W32" s="93" t="s">
        <v>42</v>
      </c>
      <c r="Z32" s="94"/>
    </row>
    <row r="33" spans="1:18" ht="11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25" ht="11.25">
      <c r="A34" s="2"/>
      <c r="B34" s="236"/>
      <c r="C34" s="237" t="s">
        <v>43</v>
      </c>
      <c r="D34" s="237"/>
      <c r="E34" s="237"/>
      <c r="F34" s="238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T34" s="239"/>
      <c r="U34" s="239"/>
      <c r="V34" s="239"/>
      <c r="W34" s="239"/>
      <c r="X34" s="240"/>
      <c r="Y34" s="3"/>
    </row>
    <row r="35" spans="1:24" ht="45">
      <c r="A35" s="105" t="s">
        <v>48</v>
      </c>
      <c r="B35" s="241" t="str">
        <f>B9</f>
        <v>Oleśnica/12</v>
      </c>
      <c r="C35" s="241" t="s">
        <v>15</v>
      </c>
      <c r="D35" s="241" t="str">
        <f>D9</f>
        <v>Oleśnica /13</v>
      </c>
      <c r="E35" s="242" t="str">
        <f>E9</f>
        <v>Żmigród- 155/14</v>
      </c>
      <c r="F35" s="242" t="str">
        <f>F9</f>
        <v>Zmigród-156/14</v>
      </c>
      <c r="G35" s="108" t="str">
        <f>G9</f>
        <v>Getin /15</v>
      </c>
      <c r="H35" s="108" t="s">
        <v>49</v>
      </c>
      <c r="I35" s="108" t="s">
        <v>50</v>
      </c>
      <c r="J35" s="108" t="s">
        <v>51</v>
      </c>
      <c r="K35" s="243" t="s">
        <v>52</v>
      </c>
      <c r="L35" s="110" t="s">
        <v>53</v>
      </c>
      <c r="M35" s="111" t="s">
        <v>25</v>
      </c>
      <c r="N35" s="112" t="s">
        <v>26</v>
      </c>
      <c r="O35" s="112" t="s">
        <v>27</v>
      </c>
      <c r="P35" s="112" t="s">
        <v>94</v>
      </c>
      <c r="Q35" s="225" t="s">
        <v>92</v>
      </c>
      <c r="R35" s="225" t="s">
        <v>93</v>
      </c>
      <c r="S35" s="113" t="s">
        <v>95</v>
      </c>
      <c r="T35" s="194" t="s">
        <v>79</v>
      </c>
      <c r="U35" s="195"/>
      <c r="V35" s="194" t="s">
        <v>96</v>
      </c>
      <c r="W35" s="196" t="s">
        <v>97</v>
      </c>
      <c r="X35"/>
    </row>
    <row r="36" spans="1:24" ht="12.75" hidden="1">
      <c r="A36" s="58">
        <v>2020</v>
      </c>
      <c r="B36" s="121">
        <v>20294.43</v>
      </c>
      <c r="C36" s="121">
        <v>33341.9</v>
      </c>
      <c r="D36" s="121">
        <v>59901.31</v>
      </c>
      <c r="E36" s="121">
        <v>45280.38</v>
      </c>
      <c r="F36" s="121">
        <v>47202.35</v>
      </c>
      <c r="G36" s="121">
        <v>205875</v>
      </c>
      <c r="H36" s="121">
        <v>213630</v>
      </c>
      <c r="I36" s="121">
        <v>419052.8</v>
      </c>
      <c r="J36" s="121">
        <v>635990.6</v>
      </c>
      <c r="K36" s="122"/>
      <c r="L36" s="123">
        <f aca="true" t="shared" si="4" ref="L36:L57">SUM(B36:K36)</f>
        <v>1680568.77</v>
      </c>
      <c r="M36" s="124"/>
      <c r="N36" s="199"/>
      <c r="O36" s="199"/>
      <c r="P36" s="198"/>
      <c r="Q36" s="244"/>
      <c r="R36" s="244"/>
      <c r="S36" s="128"/>
      <c r="T36" s="198"/>
      <c r="U36" s="198"/>
      <c r="V36" s="198"/>
      <c r="W36" s="198"/>
      <c r="X36" s="200"/>
    </row>
    <row r="37" spans="1:24" ht="11.25" hidden="1">
      <c r="A37" s="58">
        <f aca="true" t="shared" si="5" ref="A37:A43">A11</f>
        <v>2021</v>
      </c>
      <c r="B37" s="133"/>
      <c r="C37" s="133">
        <v>27720</v>
      </c>
      <c r="D37" s="228">
        <v>45085.76</v>
      </c>
      <c r="E37" s="133">
        <v>36456</v>
      </c>
      <c r="F37" s="133">
        <v>38199.96</v>
      </c>
      <c r="G37" s="133">
        <v>164250</v>
      </c>
      <c r="H37" s="133">
        <v>159000</v>
      </c>
      <c r="I37" s="133">
        <v>258637.5</v>
      </c>
      <c r="J37" s="133">
        <v>473237.1</v>
      </c>
      <c r="K37" s="122">
        <v>285682.62</v>
      </c>
      <c r="L37" s="123">
        <f t="shared" si="4"/>
        <v>1488268.94</v>
      </c>
      <c r="M37" s="124"/>
      <c r="N37" s="60">
        <v>15214.630136986301</v>
      </c>
      <c r="O37" s="60"/>
      <c r="P37" s="124"/>
      <c r="Q37" s="245"/>
      <c r="R37" s="245"/>
      <c r="S37" s="211">
        <f aca="true" t="shared" si="6" ref="S37:S58">P37+N37+O37</f>
        <v>15214.630136986301</v>
      </c>
      <c r="T37" s="202">
        <f aca="true" t="shared" si="7" ref="T37:T58">L37+S37</f>
        <v>1503483.5701369862</v>
      </c>
      <c r="U37" s="203"/>
      <c r="V37" s="204">
        <v>2050000</v>
      </c>
      <c r="W37" s="205"/>
      <c r="X37" s="58">
        <v>2021</v>
      </c>
    </row>
    <row r="38" spans="1:24" ht="11.25">
      <c r="A38" s="58">
        <f t="shared" si="5"/>
        <v>2022</v>
      </c>
      <c r="B38" s="133"/>
      <c r="C38" s="133">
        <v>35640</v>
      </c>
      <c r="D38" s="228">
        <v>35357</v>
      </c>
      <c r="E38" s="133"/>
      <c r="F38" s="133"/>
      <c r="G38" s="133">
        <v>185350</v>
      </c>
      <c r="H38" s="133">
        <v>277000</v>
      </c>
      <c r="I38" s="133">
        <v>404662</v>
      </c>
      <c r="J38" s="133">
        <v>768697</v>
      </c>
      <c r="K38" s="122">
        <v>479380.59</v>
      </c>
      <c r="L38" s="123">
        <f t="shared" si="4"/>
        <v>2186086.59</v>
      </c>
      <c r="M38" s="124"/>
      <c r="N38" s="246">
        <v>406375.52</v>
      </c>
      <c r="O38" s="246">
        <v>40276.71</v>
      </c>
      <c r="P38" s="246">
        <f>'2022 - 18 mln'!N18</f>
        <v>0</v>
      </c>
      <c r="Q38" s="245"/>
      <c r="R38" s="245"/>
      <c r="S38" s="211">
        <f t="shared" si="6"/>
        <v>446652.23000000004</v>
      </c>
      <c r="T38" s="202">
        <f t="shared" si="7"/>
        <v>2632738.82</v>
      </c>
      <c r="U38" s="203"/>
      <c r="V38" s="204">
        <v>2549861.25</v>
      </c>
      <c r="W38" s="205">
        <f aca="true" t="shared" si="8" ref="W38:W57">V38-T38</f>
        <v>-82877.56999999983</v>
      </c>
      <c r="X38" s="58">
        <v>2022</v>
      </c>
    </row>
    <row r="39" spans="1:24" ht="11.25">
      <c r="A39" s="58">
        <f t="shared" si="5"/>
        <v>2023</v>
      </c>
      <c r="B39" s="133"/>
      <c r="C39" s="136">
        <v>35640</v>
      </c>
      <c r="D39" s="228">
        <v>35357</v>
      </c>
      <c r="E39" s="133"/>
      <c r="F39" s="133"/>
      <c r="G39" s="133">
        <v>117950</v>
      </c>
      <c r="H39" s="133">
        <v>277000</v>
      </c>
      <c r="I39" s="133">
        <v>404662</v>
      </c>
      <c r="J39" s="133">
        <v>768697</v>
      </c>
      <c r="K39" s="122">
        <v>478798.2</v>
      </c>
      <c r="L39" s="123">
        <f t="shared" si="4"/>
        <v>2118104.2</v>
      </c>
      <c r="M39" s="124"/>
      <c r="N39" s="246">
        <v>404256.04</v>
      </c>
      <c r="O39" s="246">
        <v>237342.08</v>
      </c>
      <c r="P39" s="246">
        <f>'2022 - 18 mln'!N19</f>
        <v>1268921.367671233</v>
      </c>
      <c r="Q39" s="245"/>
      <c r="R39" s="245"/>
      <c r="S39" s="211">
        <f t="shared" si="6"/>
        <v>1910519.487671233</v>
      </c>
      <c r="T39" s="202">
        <f t="shared" si="7"/>
        <v>4028623.687671233</v>
      </c>
      <c r="U39" s="203"/>
      <c r="V39" s="204">
        <v>2827246</v>
      </c>
      <c r="W39" s="205">
        <f t="shared" si="8"/>
        <v>-1201377.687671233</v>
      </c>
      <c r="X39" s="58">
        <v>2023</v>
      </c>
    </row>
    <row r="40" spans="1:24" ht="11.25">
      <c r="A40" s="58">
        <f t="shared" si="5"/>
        <v>2024</v>
      </c>
      <c r="B40" s="133"/>
      <c r="C40" s="133"/>
      <c r="D40" s="133"/>
      <c r="E40" s="133"/>
      <c r="F40" s="133"/>
      <c r="G40" s="133">
        <v>98550</v>
      </c>
      <c r="H40" s="133">
        <v>271118</v>
      </c>
      <c r="I40" s="133">
        <v>343350</v>
      </c>
      <c r="J40" s="133">
        <v>768697</v>
      </c>
      <c r="K40" s="122">
        <v>478853.32</v>
      </c>
      <c r="L40" s="123">
        <f t="shared" si="4"/>
        <v>1960568.32</v>
      </c>
      <c r="M40" s="124"/>
      <c r="N40" s="246">
        <v>400939.06</v>
      </c>
      <c r="O40" s="246">
        <v>232532.08</v>
      </c>
      <c r="P40" s="246">
        <f>'2022 - 18 mln'!N20</f>
        <v>1068494.3150684931</v>
      </c>
      <c r="Q40" s="245"/>
      <c r="R40" s="245"/>
      <c r="S40" s="211">
        <f t="shared" si="6"/>
        <v>1701965.4550684933</v>
      </c>
      <c r="T40" s="202">
        <f t="shared" si="7"/>
        <v>3662533.7750684936</v>
      </c>
      <c r="U40" s="203"/>
      <c r="V40" s="204">
        <v>2676422.27</v>
      </c>
      <c r="W40" s="205">
        <f t="shared" si="8"/>
        <v>-986111.5050684935</v>
      </c>
      <c r="X40" s="58">
        <v>2024</v>
      </c>
    </row>
    <row r="41" spans="1:24" ht="11.25">
      <c r="A41" s="58">
        <f t="shared" si="5"/>
        <v>2025</v>
      </c>
      <c r="B41" s="133"/>
      <c r="C41" s="133"/>
      <c r="D41" s="133"/>
      <c r="E41" s="133"/>
      <c r="F41" s="133"/>
      <c r="G41" s="133"/>
      <c r="H41" s="133">
        <v>201868</v>
      </c>
      <c r="I41" s="133">
        <v>282037</v>
      </c>
      <c r="J41" s="133">
        <v>768697</v>
      </c>
      <c r="K41" s="122">
        <v>475455.87</v>
      </c>
      <c r="L41" s="123">
        <f t="shared" si="4"/>
        <v>1728057.87</v>
      </c>
      <c r="M41" s="124"/>
      <c r="N41" s="246">
        <v>397316.56</v>
      </c>
      <c r="O41" s="246">
        <v>227702.08</v>
      </c>
      <c r="P41" s="246">
        <f>'2022 - 18 mln'!N21</f>
        <v>1001408.8356164384</v>
      </c>
      <c r="Q41" s="245"/>
      <c r="R41" s="245"/>
      <c r="S41" s="211">
        <f t="shared" si="6"/>
        <v>1626427.4756164385</v>
      </c>
      <c r="T41" s="202">
        <f t="shared" si="7"/>
        <v>3354485.3456164384</v>
      </c>
      <c r="U41" s="203"/>
      <c r="V41" s="204">
        <v>2504826.6</v>
      </c>
      <c r="W41" s="205">
        <f t="shared" si="8"/>
        <v>-849658.7456164383</v>
      </c>
      <c r="X41" s="58">
        <v>2025</v>
      </c>
    </row>
    <row r="42" spans="1:24" ht="11.25">
      <c r="A42" s="58">
        <f t="shared" si="5"/>
        <v>2026</v>
      </c>
      <c r="B42" s="133"/>
      <c r="C42" s="133"/>
      <c r="D42" s="133"/>
      <c r="E42" s="133"/>
      <c r="F42" s="133"/>
      <c r="G42" s="133"/>
      <c r="H42" s="133">
        <v>132618</v>
      </c>
      <c r="I42" s="133">
        <v>220725</v>
      </c>
      <c r="J42" s="133">
        <v>768697</v>
      </c>
      <c r="K42" s="122">
        <v>473368.91</v>
      </c>
      <c r="L42" s="123">
        <f t="shared" si="4"/>
        <v>1595408.91</v>
      </c>
      <c r="M42" s="124"/>
      <c r="N42" s="246">
        <v>392787.08</v>
      </c>
      <c r="O42" s="246">
        <v>222882.08</v>
      </c>
      <c r="P42" s="246">
        <f>'2022 - 18 mln'!N22</f>
        <v>937308.8356164384</v>
      </c>
      <c r="Q42" s="245"/>
      <c r="R42" s="245"/>
      <c r="S42" s="211">
        <f t="shared" si="6"/>
        <v>1552977.9956164386</v>
      </c>
      <c r="T42" s="202">
        <f t="shared" si="7"/>
        <v>3148386.9056164385</v>
      </c>
      <c r="U42" s="203"/>
      <c r="V42" s="204">
        <v>2409958.78</v>
      </c>
      <c r="W42" s="205">
        <f t="shared" si="8"/>
        <v>-738428.1256164387</v>
      </c>
      <c r="X42" s="58">
        <v>2026</v>
      </c>
    </row>
    <row r="43" spans="1:24" ht="11.25">
      <c r="A43" s="58">
        <f t="shared" si="5"/>
        <v>2027</v>
      </c>
      <c r="B43" s="133"/>
      <c r="C43" s="133"/>
      <c r="D43" s="133"/>
      <c r="E43" s="133"/>
      <c r="F43" s="133"/>
      <c r="G43" s="133"/>
      <c r="H43" s="133">
        <v>63368</v>
      </c>
      <c r="I43" s="133">
        <v>155325</v>
      </c>
      <c r="J43" s="133">
        <v>768697</v>
      </c>
      <c r="K43" s="122">
        <v>468525.32</v>
      </c>
      <c r="L43" s="123">
        <f t="shared" si="4"/>
        <v>1455915.32</v>
      </c>
      <c r="M43" s="124"/>
      <c r="N43" s="246">
        <v>387967.08</v>
      </c>
      <c r="O43" s="246">
        <v>218062.08</v>
      </c>
      <c r="P43" s="246">
        <f>'2022 - 18 mln'!N23</f>
        <v>873208.8356164384</v>
      </c>
      <c r="Q43" s="245"/>
      <c r="R43" s="245"/>
      <c r="S43" s="211">
        <f t="shared" si="6"/>
        <v>1479237.9956164386</v>
      </c>
      <c r="T43" s="202">
        <f t="shared" si="7"/>
        <v>2935153.3156164386</v>
      </c>
      <c r="U43" s="203"/>
      <c r="V43" s="204">
        <v>2309357.51</v>
      </c>
      <c r="W43" s="205">
        <f t="shared" si="8"/>
        <v>-625795.8056164389</v>
      </c>
      <c r="X43" s="58">
        <v>2027</v>
      </c>
    </row>
    <row r="44" spans="1:24" ht="11.25">
      <c r="A44" s="58">
        <v>2028</v>
      </c>
      <c r="B44" s="133"/>
      <c r="C44" s="133"/>
      <c r="D44" s="133"/>
      <c r="E44" s="133"/>
      <c r="F44" s="133"/>
      <c r="G44" s="133"/>
      <c r="H44" s="133"/>
      <c r="I44" s="133">
        <v>89925</v>
      </c>
      <c r="J44" s="133">
        <v>711135</v>
      </c>
      <c r="K44" s="122">
        <v>460401.62</v>
      </c>
      <c r="L44" s="123">
        <f t="shared" si="4"/>
        <v>1261461.62</v>
      </c>
      <c r="M44" s="124"/>
      <c r="N44" s="246">
        <v>381463.38</v>
      </c>
      <c r="O44" s="246">
        <v>211386.71</v>
      </c>
      <c r="P44" s="246">
        <f>'2022 - 18 mln'!N24</f>
        <v>811391.8493150685</v>
      </c>
      <c r="Q44" s="245"/>
      <c r="R44" s="245"/>
      <c r="S44" s="211">
        <f t="shared" si="6"/>
        <v>1404241.9393150685</v>
      </c>
      <c r="T44" s="202">
        <f t="shared" si="7"/>
        <v>2665703.5593150686</v>
      </c>
      <c r="U44" s="203"/>
      <c r="V44" s="204">
        <v>2168434.2</v>
      </c>
      <c r="W44" s="205">
        <f t="shared" si="8"/>
        <v>-497269.35931506846</v>
      </c>
      <c r="X44" s="58">
        <v>2028</v>
      </c>
    </row>
    <row r="45" spans="1:24" ht="11.25">
      <c r="A45" s="58">
        <v>2029</v>
      </c>
      <c r="B45" s="133"/>
      <c r="C45" s="133"/>
      <c r="D45" s="133"/>
      <c r="E45" s="133"/>
      <c r="F45" s="133"/>
      <c r="G45" s="133"/>
      <c r="H45" s="133"/>
      <c r="I45" s="133">
        <v>89925</v>
      </c>
      <c r="J45" s="133">
        <v>554565</v>
      </c>
      <c r="K45" s="122">
        <v>445410.84</v>
      </c>
      <c r="L45" s="123">
        <f t="shared" si="4"/>
        <v>1089900.84</v>
      </c>
      <c r="M45" s="124"/>
      <c r="N45" s="246">
        <v>369175.68</v>
      </c>
      <c r="O45" s="246">
        <v>198742.47</v>
      </c>
      <c r="P45" s="246">
        <f>'2022 - 18 mln'!N25</f>
        <v>745008.8356164383</v>
      </c>
      <c r="Q45" s="245"/>
      <c r="R45" s="245"/>
      <c r="S45" s="211">
        <f t="shared" si="6"/>
        <v>1312926.9856164383</v>
      </c>
      <c r="T45" s="202">
        <f t="shared" si="7"/>
        <v>2402827.8256164384</v>
      </c>
      <c r="U45" s="203"/>
      <c r="V45" s="204">
        <v>2030463.17</v>
      </c>
      <c r="W45" s="205">
        <f t="shared" si="8"/>
        <v>-372364.6556164385</v>
      </c>
      <c r="X45" s="58">
        <v>2029</v>
      </c>
    </row>
    <row r="46" spans="1:24" ht="11.25">
      <c r="A46" s="58">
        <v>2030</v>
      </c>
      <c r="B46" s="133"/>
      <c r="C46" s="133"/>
      <c r="D46" s="133"/>
      <c r="E46" s="133"/>
      <c r="F46" s="133"/>
      <c r="G46" s="133"/>
      <c r="H46" s="133"/>
      <c r="I46" s="133">
        <v>44963</v>
      </c>
      <c r="J46" s="133">
        <v>397995</v>
      </c>
      <c r="K46" s="122">
        <v>424541.27</v>
      </c>
      <c r="L46" s="123">
        <f t="shared" si="4"/>
        <v>867499.27</v>
      </c>
      <c r="M46" s="124"/>
      <c r="N46" s="246">
        <v>345075.68</v>
      </c>
      <c r="O46" s="246">
        <v>186692.47</v>
      </c>
      <c r="P46" s="246">
        <f>'2022 - 18 mln'!N26</f>
        <v>680908.8356164384</v>
      </c>
      <c r="Q46" s="245"/>
      <c r="R46" s="245"/>
      <c r="S46" s="211">
        <f t="shared" si="6"/>
        <v>1212676.9856164383</v>
      </c>
      <c r="T46" s="202">
        <f t="shared" si="7"/>
        <v>2080176.2556164383</v>
      </c>
      <c r="U46" s="203"/>
      <c r="V46" s="204">
        <v>1850405.67</v>
      </c>
      <c r="W46" s="205">
        <f t="shared" si="8"/>
        <v>-229770.58561643842</v>
      </c>
      <c r="X46" s="58">
        <v>2030</v>
      </c>
    </row>
    <row r="47" spans="1:24" ht="11.25">
      <c r="A47" s="58">
        <v>2031</v>
      </c>
      <c r="B47" s="133"/>
      <c r="C47" s="133"/>
      <c r="D47" s="133"/>
      <c r="E47" s="133"/>
      <c r="F47" s="133"/>
      <c r="G47" s="133"/>
      <c r="H47" s="133"/>
      <c r="I47" s="133"/>
      <c r="J47" s="247">
        <v>234579</v>
      </c>
      <c r="K47" s="122">
        <v>403671.71</v>
      </c>
      <c r="L47" s="123">
        <f t="shared" si="4"/>
        <v>638250.71</v>
      </c>
      <c r="M47" s="124"/>
      <c r="N47" s="246">
        <v>320975.68</v>
      </c>
      <c r="O47" s="246">
        <v>174642.47</v>
      </c>
      <c r="P47" s="246">
        <f>'2022 - 18 mln'!N27</f>
        <v>616808.8356164384</v>
      </c>
      <c r="Q47" s="245"/>
      <c r="R47" s="245"/>
      <c r="S47" s="211">
        <f t="shared" si="6"/>
        <v>1112426.9856164383</v>
      </c>
      <c r="T47" s="202">
        <f t="shared" si="7"/>
        <v>1750677.6956164383</v>
      </c>
      <c r="U47" s="203"/>
      <c r="V47" s="204">
        <v>1665565.49</v>
      </c>
      <c r="W47" s="205">
        <f t="shared" si="8"/>
        <v>-85112.2056164383</v>
      </c>
      <c r="X47" s="58">
        <v>2031</v>
      </c>
    </row>
    <row r="48" spans="1:24" ht="11.25">
      <c r="A48" s="58">
        <v>2032</v>
      </c>
      <c r="B48" s="133"/>
      <c r="C48" s="133"/>
      <c r="D48" s="133"/>
      <c r="E48" s="133"/>
      <c r="F48" s="133"/>
      <c r="G48" s="133"/>
      <c r="H48" s="133"/>
      <c r="I48" s="133"/>
      <c r="J48" s="133">
        <v>59589</v>
      </c>
      <c r="K48" s="122">
        <v>371270.71</v>
      </c>
      <c r="L48" s="123">
        <f t="shared" si="4"/>
        <v>430859.71</v>
      </c>
      <c r="M48" s="124"/>
      <c r="N48" s="246">
        <v>288519.92</v>
      </c>
      <c r="O48" s="246">
        <v>163054.66</v>
      </c>
      <c r="P48" s="246">
        <f>'2022 - 18 mln'!N28</f>
        <v>554289.3835616438</v>
      </c>
      <c r="Q48" s="245"/>
      <c r="R48" s="245"/>
      <c r="S48" s="211">
        <f t="shared" si="6"/>
        <v>1005863.9635616437</v>
      </c>
      <c r="T48" s="202">
        <f t="shared" si="7"/>
        <v>1436723.6735616438</v>
      </c>
      <c r="U48" s="203"/>
      <c r="V48" s="204">
        <v>1478942.68</v>
      </c>
      <c r="W48" s="205">
        <f t="shared" si="8"/>
        <v>42219.006438356126</v>
      </c>
      <c r="X48" s="58">
        <v>2032</v>
      </c>
    </row>
    <row r="49" spans="1:24" ht="11.25">
      <c r="A49" s="58">
        <v>2033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22">
        <v>315939.49</v>
      </c>
      <c r="L49" s="123">
        <f t="shared" si="4"/>
        <v>315939.49</v>
      </c>
      <c r="M49" s="124"/>
      <c r="N49" s="246">
        <v>239481.37</v>
      </c>
      <c r="O49" s="246">
        <v>150542.47</v>
      </c>
      <c r="P49" s="246">
        <f>'2022 - 18 mln'!N29</f>
        <v>488608.83561643836</v>
      </c>
      <c r="Q49" s="245"/>
      <c r="R49" s="245"/>
      <c r="S49" s="211">
        <f t="shared" si="6"/>
        <v>878632.6756164383</v>
      </c>
      <c r="T49" s="202">
        <f t="shared" si="7"/>
        <v>1194572.1656164383</v>
      </c>
      <c r="U49" s="203"/>
      <c r="V49" s="204">
        <v>1316193.52</v>
      </c>
      <c r="W49" s="205">
        <f t="shared" si="8"/>
        <v>121621.35438356176</v>
      </c>
      <c r="X49" s="58">
        <v>2033</v>
      </c>
    </row>
    <row r="50" spans="1:24" ht="11.25">
      <c r="A50" s="58">
        <v>2034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22">
        <v>261678.62</v>
      </c>
      <c r="L50" s="123">
        <f t="shared" si="4"/>
        <v>261678.62</v>
      </c>
      <c r="M50" s="124"/>
      <c r="N50" s="246">
        <v>191281.37</v>
      </c>
      <c r="O50" s="246">
        <v>138492.47</v>
      </c>
      <c r="P50" s="246">
        <f>'2022 - 18 mln'!N30</f>
        <v>424508.83561643836</v>
      </c>
      <c r="Q50" s="245"/>
      <c r="R50" s="245"/>
      <c r="S50" s="211">
        <f t="shared" si="6"/>
        <v>754282.6756164383</v>
      </c>
      <c r="T50" s="202">
        <f t="shared" si="7"/>
        <v>1015961.2956164383</v>
      </c>
      <c r="U50" s="203"/>
      <c r="V50" s="204">
        <v>1177293.52</v>
      </c>
      <c r="W50" s="205">
        <f t="shared" si="8"/>
        <v>161332.22438356176</v>
      </c>
      <c r="X50" s="58">
        <v>2034</v>
      </c>
    </row>
    <row r="51" spans="1:24" ht="11.25">
      <c r="A51" s="58">
        <v>2035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22">
        <v>207417.75</v>
      </c>
      <c r="L51" s="123">
        <f t="shared" si="4"/>
        <v>207417.75</v>
      </c>
      <c r="M51" s="124"/>
      <c r="N51" s="246">
        <v>152275.68</v>
      </c>
      <c r="O51" s="246">
        <v>126442.47</v>
      </c>
      <c r="P51" s="246">
        <f>'2022 - 18 mln'!N31</f>
        <v>360408.8356164384</v>
      </c>
      <c r="Q51" s="245"/>
      <c r="R51" s="245"/>
      <c r="S51" s="211">
        <f t="shared" si="6"/>
        <v>639126.9856164384</v>
      </c>
      <c r="T51" s="202">
        <f t="shared" si="7"/>
        <v>846544.7356164384</v>
      </c>
      <c r="U51" s="203"/>
      <c r="V51" s="204">
        <v>1042544.86</v>
      </c>
      <c r="W51" s="205">
        <f t="shared" si="8"/>
        <v>196000.12438356155</v>
      </c>
      <c r="X51" s="58">
        <v>2035</v>
      </c>
    </row>
    <row r="52" spans="1:24" ht="11.25">
      <c r="A52" s="58">
        <v>2036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22">
        <v>153632.59</v>
      </c>
      <c r="L52" s="123">
        <f t="shared" si="4"/>
        <v>153632.59</v>
      </c>
      <c r="M52" s="124"/>
      <c r="N52" s="246">
        <v>128552.04</v>
      </c>
      <c r="O52" s="246">
        <v>114722.6</v>
      </c>
      <c r="P52" s="246">
        <f>'2022 - 18 mln'!N32</f>
        <v>297186.9178082192</v>
      </c>
      <c r="Q52" s="245"/>
      <c r="R52" s="245"/>
      <c r="S52" s="211">
        <f t="shared" si="6"/>
        <v>540461.5578082192</v>
      </c>
      <c r="T52" s="202">
        <f t="shared" si="7"/>
        <v>694094.1478082192</v>
      </c>
      <c r="U52" s="203"/>
      <c r="V52" s="204">
        <v>914914.01</v>
      </c>
      <c r="W52" s="205">
        <f t="shared" si="8"/>
        <v>220819.86219178082</v>
      </c>
      <c r="X52" s="58">
        <v>2036</v>
      </c>
    </row>
    <row r="53" spans="1:24" ht="11.25">
      <c r="A53" s="58">
        <v>2037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22">
        <v>110080.09</v>
      </c>
      <c r="L53" s="123">
        <f t="shared" si="4"/>
        <v>110080.09</v>
      </c>
      <c r="M53" s="124"/>
      <c r="N53" s="246">
        <v>104075.68</v>
      </c>
      <c r="O53" s="246">
        <v>102342.47</v>
      </c>
      <c r="P53" s="246">
        <f>'2022 - 18 mln'!N33</f>
        <v>232208.83561643836</v>
      </c>
      <c r="Q53" s="245"/>
      <c r="R53" s="245"/>
      <c r="S53" s="211">
        <f t="shared" si="6"/>
        <v>438626.9856164383</v>
      </c>
      <c r="T53" s="202">
        <f t="shared" si="7"/>
        <v>548707.0756164383</v>
      </c>
      <c r="U53" s="203"/>
      <c r="V53" s="204">
        <v>796927.07</v>
      </c>
      <c r="W53" s="205">
        <f t="shared" si="8"/>
        <v>248219.99438356166</v>
      </c>
      <c r="X53" s="58">
        <v>2037</v>
      </c>
    </row>
    <row r="54" spans="1:24" ht="11.25">
      <c r="A54" s="58">
        <v>2038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22">
        <v>85454.01</v>
      </c>
      <c r="L54" s="123">
        <f t="shared" si="4"/>
        <v>85454.01</v>
      </c>
      <c r="M54" s="124"/>
      <c r="N54" s="246">
        <v>79975.68</v>
      </c>
      <c r="O54" s="246">
        <v>87205.68</v>
      </c>
      <c r="P54" s="246">
        <f>'2022 - 18 mln'!N34</f>
        <v>168108.83561643836</v>
      </c>
      <c r="Q54" s="245"/>
      <c r="R54" s="245"/>
      <c r="S54" s="211">
        <f t="shared" si="6"/>
        <v>335290.19561643834</v>
      </c>
      <c r="T54" s="202">
        <f t="shared" si="7"/>
        <v>420744.20561643835</v>
      </c>
      <c r="U54" s="203"/>
      <c r="V54" s="204">
        <v>690346.11</v>
      </c>
      <c r="W54" s="205">
        <f t="shared" si="8"/>
        <v>269601.90438356163</v>
      </c>
      <c r="X54" s="58">
        <v>2038</v>
      </c>
    </row>
    <row r="55" spans="1:24" ht="11.25">
      <c r="A55" s="58">
        <v>2039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22">
        <v>60827.92</v>
      </c>
      <c r="L55" s="123">
        <f t="shared" si="4"/>
        <v>60827.92</v>
      </c>
      <c r="M55" s="124"/>
      <c r="N55" s="246">
        <v>55875.68</v>
      </c>
      <c r="O55" s="246">
        <v>63105.68</v>
      </c>
      <c r="P55" s="246">
        <f>'2022 - 18 mln'!N35</f>
        <v>104008.83561643836</v>
      </c>
      <c r="Q55" s="245"/>
      <c r="R55" s="245"/>
      <c r="S55" s="211">
        <f t="shared" si="6"/>
        <v>222990.19561643834</v>
      </c>
      <c r="T55" s="202">
        <f t="shared" si="7"/>
        <v>283818.1156164383</v>
      </c>
      <c r="U55" s="203"/>
      <c r="V55" s="204">
        <v>574426.11</v>
      </c>
      <c r="W55" s="205">
        <f t="shared" si="8"/>
        <v>290607.99438356166</v>
      </c>
      <c r="X55" s="58">
        <v>2039</v>
      </c>
    </row>
    <row r="56" spans="1:24" ht="11.25">
      <c r="A56" s="58">
        <v>2040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22">
        <v>36326.48</v>
      </c>
      <c r="L56" s="123">
        <f t="shared" si="4"/>
        <v>36326.48</v>
      </c>
      <c r="M56" s="124"/>
      <c r="N56" s="246">
        <v>31887.93</v>
      </c>
      <c r="O56" s="246">
        <v>39137.74</v>
      </c>
      <c r="P56" s="246">
        <f>'2022 - 18 mln'!N36</f>
        <v>40084.45205479452</v>
      </c>
      <c r="Q56" s="245"/>
      <c r="R56" s="245"/>
      <c r="S56" s="211">
        <f t="shared" si="6"/>
        <v>111110.12205479451</v>
      </c>
      <c r="T56" s="202">
        <f t="shared" si="7"/>
        <v>147436.60205479452</v>
      </c>
      <c r="U56" s="203"/>
      <c r="V56" s="204">
        <v>462616.74</v>
      </c>
      <c r="W56" s="205">
        <f t="shared" si="8"/>
        <v>315180.13794520544</v>
      </c>
      <c r="X56" s="58">
        <v>2040</v>
      </c>
    </row>
    <row r="57" spans="1:24" ht="11.25">
      <c r="A57" s="58">
        <v>2041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22">
        <v>12993.45</v>
      </c>
      <c r="L57" s="123">
        <f t="shared" si="4"/>
        <v>12993.45</v>
      </c>
      <c r="M57" s="124"/>
      <c r="N57" s="248">
        <v>8015.73</v>
      </c>
      <c r="O57" s="246">
        <v>14905.68</v>
      </c>
      <c r="P57" s="246">
        <f>'2022 - 18 mln'!N37</f>
        <v>0</v>
      </c>
      <c r="Q57" s="245"/>
      <c r="R57" s="245"/>
      <c r="S57" s="211">
        <f t="shared" si="6"/>
        <v>22921.41</v>
      </c>
      <c r="T57" s="202">
        <f t="shared" si="7"/>
        <v>35914.86</v>
      </c>
      <c r="U57" s="203"/>
      <c r="V57" s="204">
        <v>360444.76</v>
      </c>
      <c r="W57" s="205">
        <f t="shared" si="8"/>
        <v>324529.9</v>
      </c>
      <c r="X57" s="58">
        <v>2041</v>
      </c>
    </row>
    <row r="58" spans="1:24" ht="12.75">
      <c r="A58" s="144" t="str">
        <f>A32</f>
        <v>Suma</v>
      </c>
      <c r="B58" s="125">
        <f>SUM(B39:B57)</f>
        <v>0</v>
      </c>
      <c r="C58" s="125">
        <f aca="true" t="shared" si="9" ref="C58:L58">SUM(C38:C57)</f>
        <v>71280</v>
      </c>
      <c r="D58" s="125">
        <f t="shared" si="9"/>
        <v>70714</v>
      </c>
      <c r="E58" s="125">
        <f t="shared" si="9"/>
        <v>0</v>
      </c>
      <c r="F58" s="125">
        <f t="shared" si="9"/>
        <v>0</v>
      </c>
      <c r="G58" s="125">
        <f t="shared" si="9"/>
        <v>401850</v>
      </c>
      <c r="H58" s="125">
        <f t="shared" si="9"/>
        <v>1222972</v>
      </c>
      <c r="I58" s="125">
        <f t="shared" si="9"/>
        <v>2035574</v>
      </c>
      <c r="J58" s="125">
        <f t="shared" si="9"/>
        <v>6570045</v>
      </c>
      <c r="K58" s="125">
        <f t="shared" si="9"/>
        <v>6204028.760000001</v>
      </c>
      <c r="L58" s="145">
        <f t="shared" si="9"/>
        <v>16576463.760000002</v>
      </c>
      <c r="M58" s="67">
        <f>SUM(M36:M57)</f>
        <v>0</v>
      </c>
      <c r="N58" s="88">
        <f>SUM(N38:N57)</f>
        <v>5086272.84</v>
      </c>
      <c r="O58" s="125">
        <f>SUM(O38:O57)</f>
        <v>2950213.1500000013</v>
      </c>
      <c r="P58" s="125">
        <f>SUM(P38:P57)</f>
        <v>10672874.312876713</v>
      </c>
      <c r="Q58" s="67"/>
      <c r="R58" s="67"/>
      <c r="S58" s="211">
        <f t="shared" si="6"/>
        <v>18709360.302876715</v>
      </c>
      <c r="T58" s="212">
        <f t="shared" si="7"/>
        <v>35285824.062876716</v>
      </c>
      <c r="U58" s="208"/>
      <c r="V58" s="125">
        <f>SUM(V38:V57)</f>
        <v>31807190.32</v>
      </c>
      <c r="W58" s="213"/>
      <c r="X58"/>
    </row>
    <row r="59" spans="1:25" ht="11.25">
      <c r="A59" s="11"/>
      <c r="B59" s="133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49"/>
      <c r="R59" s="249"/>
      <c r="S59" s="155"/>
      <c r="T59" s="155"/>
      <c r="U59" s="155"/>
      <c r="W59" s="3"/>
      <c r="X59" s="250"/>
      <c r="Y59" s="3"/>
    </row>
    <row r="60" spans="23:25" ht="11.25">
      <c r="W60" s="3"/>
      <c r="X60" s="3"/>
      <c r="Y60" s="3"/>
    </row>
    <row r="61" spans="23:25" ht="11.25">
      <c r="W61" s="3"/>
      <c r="X61" s="3"/>
      <c r="Y61" s="3"/>
    </row>
    <row r="62" spans="9:25" ht="11.25">
      <c r="I62" s="19" t="s">
        <v>62</v>
      </c>
      <c r="J62" s="158">
        <v>4.2693</v>
      </c>
      <c r="K62" s="159"/>
      <c r="M62" s="160">
        <f>M58/J62</f>
        <v>0</v>
      </c>
      <c r="N62" s="161"/>
      <c r="O62" s="161"/>
      <c r="P62" s="160"/>
      <c r="Q62" s="161"/>
      <c r="R62" s="161"/>
      <c r="S62" s="162"/>
      <c r="W62" s="3"/>
      <c r="X62" s="3"/>
      <c r="Y62" s="3"/>
    </row>
    <row r="63" spans="23:25" ht="11.25">
      <c r="W63" s="3"/>
      <c r="X63" s="3"/>
      <c r="Y63" s="3"/>
    </row>
    <row r="68" ht="11.25">
      <c r="K68" s="17" t="s">
        <v>64</v>
      </c>
    </row>
    <row r="69" spans="4:11" ht="12.75" customHeight="1">
      <c r="D69" s="855" t="s">
        <v>65</v>
      </c>
      <c r="E69" s="855"/>
      <c r="F69" s="855"/>
      <c r="G69" s="855"/>
      <c r="H69" s="855"/>
      <c r="I69" s="855"/>
      <c r="J69" s="855"/>
      <c r="K69" s="855"/>
    </row>
    <row r="70" spans="4:11" ht="11.25">
      <c r="D70" s="251"/>
      <c r="F70" s="251"/>
      <c r="G70" s="252">
        <v>1</v>
      </c>
      <c r="H70" s="252">
        <v>2</v>
      </c>
      <c r="I70" s="252">
        <v>3</v>
      </c>
      <c r="J70" s="252">
        <v>4</v>
      </c>
      <c r="K70" s="253">
        <v>5</v>
      </c>
    </row>
    <row r="71" spans="4:11" ht="56.25">
      <c r="D71" s="167" t="s">
        <v>13</v>
      </c>
      <c r="F71" s="167" t="s">
        <v>13</v>
      </c>
      <c r="G71" s="112" t="s">
        <v>66</v>
      </c>
      <c r="H71" s="112" t="s">
        <v>67</v>
      </c>
      <c r="I71" s="168" t="s">
        <v>68</v>
      </c>
      <c r="J71" s="168" t="s">
        <v>69</v>
      </c>
      <c r="K71" s="169" t="s">
        <v>70</v>
      </c>
    </row>
    <row r="72" spans="4:11" ht="11.25">
      <c r="D72" s="170">
        <v>2021</v>
      </c>
      <c r="F72" s="170">
        <v>2021</v>
      </c>
      <c r="G72" s="171">
        <f aca="true" t="shared" si="10" ref="G72:G92">SUM(B11:J11)</f>
        <v>6352591</v>
      </c>
      <c r="H72" s="172">
        <f aca="true" t="shared" si="11" ref="H72:H92">SUM(K11)</f>
        <v>21000</v>
      </c>
      <c r="I72" s="172">
        <f aca="true" t="shared" si="12" ref="I72:I92">SUM(M11+N11)</f>
        <v>0</v>
      </c>
      <c r="J72" s="173">
        <f aca="true" t="shared" si="13" ref="J72:J92">O11</f>
        <v>0</v>
      </c>
      <c r="K72" s="174">
        <f aca="true" t="shared" si="14" ref="K72:K92">SUM(G72:J72)</f>
        <v>6373591</v>
      </c>
    </row>
    <row r="73" spans="4:11" ht="11.25">
      <c r="D73" s="170">
        <v>2022</v>
      </c>
      <c r="F73" s="170">
        <v>2022</v>
      </c>
      <c r="G73" s="171">
        <f t="shared" si="10"/>
        <v>2000000</v>
      </c>
      <c r="H73" s="172">
        <f t="shared" si="11"/>
        <v>15000</v>
      </c>
      <c r="I73" s="172">
        <f t="shared" si="12"/>
        <v>50000</v>
      </c>
      <c r="J73" s="173">
        <f t="shared" si="13"/>
        <v>0</v>
      </c>
      <c r="K73" s="174">
        <f t="shared" si="14"/>
        <v>2065000</v>
      </c>
    </row>
    <row r="74" spans="4:11" ht="11.25">
      <c r="D74" s="170">
        <v>2023</v>
      </c>
      <c r="F74" s="170">
        <v>2023</v>
      </c>
      <c r="G74" s="171">
        <f t="shared" si="10"/>
        <v>4354759</v>
      </c>
      <c r="H74" s="172">
        <f t="shared" si="11"/>
        <v>25000</v>
      </c>
      <c r="I74" s="172">
        <f t="shared" si="12"/>
        <v>100000</v>
      </c>
      <c r="J74" s="173">
        <f t="shared" si="13"/>
        <v>200000</v>
      </c>
      <c r="K74" s="174">
        <f t="shared" si="14"/>
        <v>4679759</v>
      </c>
    </row>
    <row r="75" spans="4:11" ht="11.25">
      <c r="D75" s="170">
        <v>2024</v>
      </c>
      <c r="F75" s="170">
        <v>2024</v>
      </c>
      <c r="G75" s="171">
        <f t="shared" si="10"/>
        <v>5875000</v>
      </c>
      <c r="H75" s="172">
        <f t="shared" si="11"/>
        <v>65000</v>
      </c>
      <c r="I75" s="172">
        <f t="shared" si="12"/>
        <v>150000</v>
      </c>
      <c r="J75" s="173">
        <f t="shared" si="13"/>
        <v>200000</v>
      </c>
      <c r="K75" s="174">
        <f t="shared" si="14"/>
        <v>6290000</v>
      </c>
    </row>
    <row r="76" spans="4:11" ht="11.25">
      <c r="D76" s="170">
        <v>2025</v>
      </c>
      <c r="F76" s="170">
        <v>2025</v>
      </c>
      <c r="G76" s="171">
        <f t="shared" si="10"/>
        <v>4375000</v>
      </c>
      <c r="H76" s="172">
        <f t="shared" si="11"/>
        <v>65000</v>
      </c>
      <c r="I76" s="172">
        <f t="shared" si="12"/>
        <v>150000</v>
      </c>
      <c r="J76" s="173">
        <f t="shared" si="13"/>
        <v>200000</v>
      </c>
      <c r="K76" s="174">
        <f t="shared" si="14"/>
        <v>4790000</v>
      </c>
    </row>
    <row r="77" spans="4:11" ht="11.25">
      <c r="D77" s="170">
        <v>2026</v>
      </c>
      <c r="F77" s="170">
        <v>2026</v>
      </c>
      <c r="G77" s="171">
        <f t="shared" si="10"/>
        <v>4375000</v>
      </c>
      <c r="H77" s="172">
        <f t="shared" si="11"/>
        <v>65000</v>
      </c>
      <c r="I77" s="172">
        <f t="shared" si="12"/>
        <v>200000</v>
      </c>
      <c r="J77" s="173">
        <f t="shared" si="13"/>
        <v>200000</v>
      </c>
      <c r="K77" s="174">
        <f t="shared" si="14"/>
        <v>4840000</v>
      </c>
    </row>
    <row r="78" spans="4:11" ht="11.25">
      <c r="D78" s="170">
        <v>2027</v>
      </c>
      <c r="F78" s="170">
        <v>2027</v>
      </c>
      <c r="G78" s="171">
        <f t="shared" si="10"/>
        <v>6375000</v>
      </c>
      <c r="H78" s="172">
        <f t="shared" si="11"/>
        <v>293000</v>
      </c>
      <c r="I78" s="172">
        <f t="shared" si="12"/>
        <v>200000</v>
      </c>
      <c r="J78" s="173">
        <f t="shared" si="13"/>
        <v>200000</v>
      </c>
      <c r="K78" s="174">
        <f t="shared" si="14"/>
        <v>7068000</v>
      </c>
    </row>
    <row r="79" spans="4:11" ht="11.25">
      <c r="D79" s="170">
        <v>2028</v>
      </c>
      <c r="F79" s="170">
        <v>2028</v>
      </c>
      <c r="G79" s="171">
        <f t="shared" si="10"/>
        <v>7100000</v>
      </c>
      <c r="H79" s="172">
        <f t="shared" si="11"/>
        <v>293000</v>
      </c>
      <c r="I79" s="172">
        <f t="shared" si="12"/>
        <v>350000</v>
      </c>
      <c r="J79" s="173">
        <f t="shared" si="13"/>
        <v>500000</v>
      </c>
      <c r="K79" s="174">
        <f t="shared" si="14"/>
        <v>8243000</v>
      </c>
    </row>
    <row r="80" spans="4:11" ht="11.25">
      <c r="D80" s="170">
        <v>2029</v>
      </c>
      <c r="F80" s="170">
        <v>2029</v>
      </c>
      <c r="G80" s="171">
        <f t="shared" si="10"/>
        <v>6475000</v>
      </c>
      <c r="H80" s="172">
        <f t="shared" si="11"/>
        <v>652000</v>
      </c>
      <c r="I80" s="172">
        <f t="shared" si="12"/>
        <v>1000000</v>
      </c>
      <c r="J80" s="173">
        <f t="shared" si="13"/>
        <v>500000</v>
      </c>
      <c r="K80" s="174">
        <f t="shared" si="14"/>
        <v>8627000</v>
      </c>
    </row>
    <row r="81" spans="4:11" ht="11.25">
      <c r="D81" s="170">
        <v>2030</v>
      </c>
      <c r="F81" s="170">
        <v>2030</v>
      </c>
      <c r="G81" s="171">
        <f t="shared" si="10"/>
        <v>6698000</v>
      </c>
      <c r="H81" s="172">
        <f t="shared" si="11"/>
        <v>652000</v>
      </c>
      <c r="I81" s="172">
        <f t="shared" si="12"/>
        <v>1000000</v>
      </c>
      <c r="J81" s="173">
        <f t="shared" si="13"/>
        <v>500000</v>
      </c>
      <c r="K81" s="174">
        <f t="shared" si="14"/>
        <v>8850000</v>
      </c>
    </row>
    <row r="82" spans="4:11" ht="11.25">
      <c r="D82" s="170">
        <v>2031</v>
      </c>
      <c r="F82" s="170">
        <v>2031</v>
      </c>
      <c r="G82" s="171">
        <f t="shared" si="10"/>
        <v>5700000</v>
      </c>
      <c r="H82" s="172">
        <f t="shared" si="11"/>
        <v>652000</v>
      </c>
      <c r="I82" s="172">
        <f t="shared" si="12"/>
        <v>1000000</v>
      </c>
      <c r="J82" s="173">
        <f t="shared" si="13"/>
        <v>500000</v>
      </c>
      <c r="K82" s="174">
        <f t="shared" si="14"/>
        <v>7852000</v>
      </c>
    </row>
    <row r="83" spans="4:11" ht="11.25">
      <c r="D83" s="170">
        <v>2032</v>
      </c>
      <c r="F83" s="170">
        <v>2032</v>
      </c>
      <c r="G83" s="171">
        <f t="shared" si="10"/>
        <v>1941000</v>
      </c>
      <c r="H83" s="172">
        <f t="shared" si="11"/>
        <v>1695000</v>
      </c>
      <c r="I83" s="172">
        <f t="shared" si="12"/>
        <v>2000000</v>
      </c>
      <c r="J83" s="173">
        <f t="shared" si="13"/>
        <v>500000</v>
      </c>
      <c r="K83" s="174">
        <f t="shared" si="14"/>
        <v>6136000</v>
      </c>
    </row>
    <row r="84" spans="4:11" ht="11.25">
      <c r="D84" s="170">
        <v>2033</v>
      </c>
      <c r="F84" s="170">
        <v>2033</v>
      </c>
      <c r="G84" s="171">
        <f t="shared" si="10"/>
        <v>0</v>
      </c>
      <c r="H84" s="172">
        <f t="shared" si="11"/>
        <v>1695000</v>
      </c>
      <c r="I84" s="172">
        <f t="shared" si="12"/>
        <v>2000000</v>
      </c>
      <c r="J84" s="173">
        <f t="shared" si="13"/>
        <v>500000</v>
      </c>
      <c r="K84" s="174">
        <f t="shared" si="14"/>
        <v>4195000</v>
      </c>
    </row>
    <row r="85" spans="4:11" ht="11.25">
      <c r="D85" s="170">
        <v>2034</v>
      </c>
      <c r="F85" s="170">
        <v>2034</v>
      </c>
      <c r="G85" s="171">
        <f t="shared" si="10"/>
        <v>0</v>
      </c>
      <c r="H85" s="172">
        <f t="shared" si="11"/>
        <v>1695000</v>
      </c>
      <c r="I85" s="172">
        <f t="shared" si="12"/>
        <v>2000000</v>
      </c>
      <c r="J85" s="173">
        <f t="shared" si="13"/>
        <v>500000</v>
      </c>
      <c r="K85" s="174">
        <f t="shared" si="14"/>
        <v>4195000</v>
      </c>
    </row>
    <row r="86" spans="4:11" ht="11.25">
      <c r="D86" s="170">
        <v>2035</v>
      </c>
      <c r="F86" s="170">
        <v>2035</v>
      </c>
      <c r="G86" s="171">
        <f t="shared" si="10"/>
        <v>0</v>
      </c>
      <c r="H86" s="172">
        <f t="shared" si="11"/>
        <v>1695000</v>
      </c>
      <c r="I86" s="172">
        <f t="shared" si="12"/>
        <v>1000000</v>
      </c>
      <c r="J86" s="173">
        <f t="shared" si="13"/>
        <v>500000</v>
      </c>
      <c r="K86" s="174">
        <f t="shared" si="14"/>
        <v>3195000</v>
      </c>
    </row>
    <row r="87" spans="4:11" ht="11.25">
      <c r="D87" s="170">
        <v>2036</v>
      </c>
      <c r="F87" s="170">
        <v>2036</v>
      </c>
      <c r="G87" s="171">
        <f t="shared" si="10"/>
        <v>0</v>
      </c>
      <c r="H87" s="172">
        <f t="shared" si="11"/>
        <v>1695000</v>
      </c>
      <c r="I87" s="172">
        <f t="shared" si="12"/>
        <v>1000000</v>
      </c>
      <c r="J87" s="173">
        <f t="shared" si="13"/>
        <v>500000</v>
      </c>
      <c r="K87" s="174">
        <f t="shared" si="14"/>
        <v>3195000</v>
      </c>
    </row>
    <row r="88" spans="4:11" ht="11.25">
      <c r="D88" s="170">
        <v>2037</v>
      </c>
      <c r="F88" s="170">
        <v>2037</v>
      </c>
      <c r="G88" s="171">
        <f t="shared" si="10"/>
        <v>0</v>
      </c>
      <c r="H88" s="172">
        <f t="shared" si="11"/>
        <v>770000</v>
      </c>
      <c r="I88" s="172">
        <f t="shared" si="12"/>
        <v>1000000</v>
      </c>
      <c r="J88" s="173">
        <f t="shared" si="13"/>
        <v>500000</v>
      </c>
      <c r="K88" s="174">
        <f t="shared" si="14"/>
        <v>2270000</v>
      </c>
    </row>
    <row r="89" spans="4:11" ht="11.25">
      <c r="D89" s="170">
        <v>2038</v>
      </c>
      <c r="F89" s="170">
        <v>2038</v>
      </c>
      <c r="G89" s="171">
        <f t="shared" si="10"/>
        <v>0</v>
      </c>
      <c r="H89" s="172">
        <f t="shared" si="11"/>
        <v>770000</v>
      </c>
      <c r="I89" s="172">
        <f t="shared" si="12"/>
        <v>1000000</v>
      </c>
      <c r="J89" s="173">
        <f t="shared" si="13"/>
        <v>1000000</v>
      </c>
      <c r="K89" s="174">
        <f t="shared" si="14"/>
        <v>2770000</v>
      </c>
    </row>
    <row r="90" spans="4:11" ht="11.25">
      <c r="D90" s="170">
        <v>2039</v>
      </c>
      <c r="F90" s="170">
        <v>2039</v>
      </c>
      <c r="G90" s="171">
        <f t="shared" si="10"/>
        <v>0</v>
      </c>
      <c r="H90" s="172">
        <f t="shared" si="11"/>
        <v>770000</v>
      </c>
      <c r="I90" s="172">
        <f t="shared" si="12"/>
        <v>1000000</v>
      </c>
      <c r="J90" s="173">
        <f t="shared" si="13"/>
        <v>1000000</v>
      </c>
      <c r="K90" s="174">
        <f t="shared" si="14"/>
        <v>2770000</v>
      </c>
    </row>
    <row r="91" spans="4:11" ht="11.25">
      <c r="D91" s="170">
        <v>2040</v>
      </c>
      <c r="F91" s="170">
        <v>2040</v>
      </c>
      <c r="G91" s="171">
        <f t="shared" si="10"/>
        <v>0</v>
      </c>
      <c r="H91" s="172">
        <f t="shared" si="11"/>
        <v>770000</v>
      </c>
      <c r="I91" s="172">
        <f t="shared" si="12"/>
        <v>1000000</v>
      </c>
      <c r="J91" s="173">
        <f t="shared" si="13"/>
        <v>1000000</v>
      </c>
      <c r="K91" s="174">
        <f t="shared" si="14"/>
        <v>2770000</v>
      </c>
    </row>
    <row r="92" spans="4:11" ht="11.25">
      <c r="D92" s="170">
        <v>2041</v>
      </c>
      <c r="F92" s="170">
        <v>2041</v>
      </c>
      <c r="G92" s="171">
        <f t="shared" si="10"/>
        <v>0</v>
      </c>
      <c r="H92" s="172">
        <f t="shared" si="11"/>
        <v>647000</v>
      </c>
      <c r="I92" s="172">
        <f t="shared" si="12"/>
        <v>699999.9999999999</v>
      </c>
      <c r="J92" s="173">
        <f t="shared" si="13"/>
        <v>1000000</v>
      </c>
      <c r="K92" s="174">
        <f t="shared" si="14"/>
        <v>2347000</v>
      </c>
    </row>
    <row r="93" spans="4:11" ht="11.25">
      <c r="D93" s="175" t="s">
        <v>42</v>
      </c>
      <c r="F93" s="175" t="s">
        <v>42</v>
      </c>
      <c r="G93" s="176">
        <f>SUM(G72:G92)</f>
        <v>61621350</v>
      </c>
      <c r="H93" s="177">
        <f>SUM(H72:H92)</f>
        <v>15000000</v>
      </c>
      <c r="I93" s="177">
        <f>SUM(I72:I92)</f>
        <v>16900000</v>
      </c>
      <c r="J93" s="176">
        <f>SUM(J72:J92)</f>
        <v>10000000</v>
      </c>
      <c r="K93" s="178">
        <f>SUM(K72:K92)</f>
        <v>103521350</v>
      </c>
    </row>
    <row r="96" ht="13.5" customHeight="1"/>
  </sheetData>
  <sheetProtection selectLockedCells="1" selectUnlockedCells="1"/>
  <mergeCells count="10">
    <mergeCell ref="D69:K69"/>
    <mergeCell ref="C1:G1"/>
    <mergeCell ref="L1:S1"/>
    <mergeCell ref="D2:H2"/>
    <mergeCell ref="A3:B3"/>
    <mergeCell ref="B4:F4"/>
    <mergeCell ref="N4:O4"/>
    <mergeCell ref="C7:F7"/>
    <mergeCell ref="G7:J7"/>
    <mergeCell ref="K7:M7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8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zoomScalePageLayoutView="0" workbookViewId="0" topLeftCell="A6">
      <selection activeCell="I2" sqref="I2"/>
    </sheetView>
  </sheetViews>
  <sheetFormatPr defaultColWidth="9.140625" defaultRowHeight="12.75"/>
  <cols>
    <col min="1" max="1" width="5.8515625" style="1" bestFit="1" customWidth="1"/>
    <col min="2" max="2" width="12.28125" style="1" hidden="1" customWidth="1"/>
    <col min="3" max="3" width="10.7109375" style="1" hidden="1" customWidth="1"/>
    <col min="4" max="4" width="15.140625" style="1" customWidth="1"/>
    <col min="5" max="5" width="13.140625" style="1" customWidth="1"/>
    <col min="6" max="6" width="13.00390625" style="1" customWidth="1"/>
    <col min="7" max="7" width="12.57421875" style="1" customWidth="1"/>
    <col min="8" max="8" width="13.140625" style="1" customWidth="1"/>
    <col min="9" max="9" width="13.00390625" style="1" customWidth="1"/>
    <col min="10" max="12" width="12.7109375" style="1" customWidth="1"/>
    <col min="13" max="13" width="14.7109375" style="1" customWidth="1"/>
    <col min="14" max="14" width="14.00390625" style="1" customWidth="1"/>
    <col min="15" max="16" width="14.7109375" style="1" customWidth="1"/>
    <col min="17" max="17" width="13.57421875" style="1" customWidth="1"/>
    <col min="18" max="18" width="13.421875" style="1" customWidth="1"/>
    <col min="19" max="19" width="13.7109375" style="1" hidden="1" customWidth="1"/>
    <col min="20" max="20" width="13.7109375" style="1" bestFit="1" customWidth="1"/>
    <col min="21" max="21" width="12.57421875" style="1" customWidth="1"/>
    <col min="22" max="22" width="5.8515625" style="1" customWidth="1"/>
    <col min="23" max="23" width="5.00390625" style="1" customWidth="1"/>
    <col min="24" max="24" width="4.57421875" style="1" customWidth="1"/>
    <col min="25" max="25" width="4.00390625" style="1" customWidth="1"/>
    <col min="26" max="26" width="15.140625" style="1" customWidth="1"/>
    <col min="27" max="27" width="6.00390625" style="1" customWidth="1"/>
    <col min="28" max="28" width="11.8515625" style="1" customWidth="1"/>
    <col min="29" max="29" width="10.421875" style="1" customWidth="1"/>
    <col min="30" max="16384" width="9.140625" style="1" customWidth="1"/>
  </cols>
  <sheetData>
    <row r="1" spans="3:20" ht="21.75" thickBot="1">
      <c r="C1" s="580" t="s">
        <v>211</v>
      </c>
      <c r="D1" s="581"/>
      <c r="E1" s="582"/>
      <c r="F1" s="582"/>
      <c r="G1" s="582"/>
      <c r="H1" s="582"/>
      <c r="J1" s="583"/>
      <c r="K1" s="583"/>
      <c r="L1" s="583"/>
      <c r="M1" s="583"/>
      <c r="N1" s="847" t="s">
        <v>245</v>
      </c>
      <c r="O1" s="847"/>
      <c r="P1" s="847"/>
      <c r="Q1" s="847"/>
      <c r="R1" s="847"/>
      <c r="S1" s="847"/>
      <c r="T1" s="847"/>
    </row>
    <row r="2" spans="4:28" ht="26.25" customHeight="1" thickBot="1">
      <c r="D2" s="806" t="s">
        <v>255</v>
      </c>
      <c r="E2" s="807" t="s">
        <v>260</v>
      </c>
      <c r="F2" s="808"/>
      <c r="Q2" s="858" t="s">
        <v>254</v>
      </c>
      <c r="R2" s="859"/>
      <c r="S2" s="859"/>
      <c r="T2" s="859"/>
      <c r="U2" s="860"/>
      <c r="AB2" s="6"/>
    </row>
    <row r="3" spans="1:21" ht="33.75" customHeight="1" thickBot="1">
      <c r="A3" s="848" t="s">
        <v>3</v>
      </c>
      <c r="B3" s="848"/>
      <c r="C3" s="585" t="s">
        <v>4</v>
      </c>
      <c r="D3" s="10"/>
      <c r="E3" s="10"/>
      <c r="F3" s="10"/>
      <c r="G3" s="586" t="s">
        <v>4</v>
      </c>
      <c r="I3" s="159"/>
      <c r="J3" s="586" t="s">
        <v>4</v>
      </c>
      <c r="K3" s="10"/>
      <c r="L3" s="10"/>
      <c r="M3" s="10"/>
      <c r="N3" s="10"/>
      <c r="O3" s="10"/>
      <c r="P3" s="10"/>
      <c r="R3" s="3"/>
      <c r="S3" s="3"/>
      <c r="T3" s="4"/>
      <c r="U3" s="5"/>
    </row>
    <row r="4" spans="2:21" ht="18.75" customHeight="1" thickBot="1">
      <c r="B4" s="849"/>
      <c r="C4" s="849"/>
      <c r="I4" s="587"/>
      <c r="J4" s="216"/>
      <c r="K4" s="217"/>
      <c r="L4" s="217"/>
      <c r="M4" s="217"/>
      <c r="O4" s="217"/>
      <c r="P4" s="217"/>
      <c r="R4" s="3"/>
      <c r="S4" s="3"/>
      <c r="T4" s="4"/>
      <c r="U4" s="5"/>
    </row>
    <row r="5" spans="1:16" ht="12" thickBot="1">
      <c r="A5" s="588" t="s">
        <v>5</v>
      </c>
      <c r="B5" s="589">
        <v>0.65</v>
      </c>
      <c r="C5" s="589">
        <v>2.4</v>
      </c>
      <c r="D5" s="589">
        <v>0.9</v>
      </c>
      <c r="E5" s="589">
        <v>1.4</v>
      </c>
      <c r="F5" s="589" t="s">
        <v>256</v>
      </c>
      <c r="G5" s="590">
        <v>1.64</v>
      </c>
      <c r="H5" s="591">
        <v>0.85</v>
      </c>
      <c r="I5" s="592">
        <v>0.85</v>
      </c>
      <c r="J5" s="780">
        <v>0.52</v>
      </c>
      <c r="K5" s="781">
        <v>0.52</v>
      </c>
      <c r="L5" s="692">
        <v>0.75</v>
      </c>
      <c r="M5" s="802">
        <v>0.75</v>
      </c>
      <c r="O5" s="804">
        <v>0.85</v>
      </c>
      <c r="P5" s="220"/>
    </row>
    <row r="6" spans="1:16" ht="34.5" thickBot="1">
      <c r="A6" s="594" t="s">
        <v>6</v>
      </c>
      <c r="B6" s="156">
        <f>0.65+0.68</f>
        <v>1.33</v>
      </c>
      <c r="C6" s="595">
        <f>2.4+1.56</f>
        <v>3.96</v>
      </c>
      <c r="D6" s="596">
        <f>0.9+5.86</f>
        <v>6.760000000000001</v>
      </c>
      <c r="E6" s="596">
        <f>1.4+5.86</f>
        <v>7.26</v>
      </c>
      <c r="F6" s="596">
        <f>1.4+5.86</f>
        <v>7.26</v>
      </c>
      <c r="G6" s="596">
        <f>1.64+5.85</f>
        <v>7.489999999999999</v>
      </c>
      <c r="H6" s="597">
        <f>H5+5.85</f>
        <v>6.699999999999999</v>
      </c>
      <c r="I6" s="598">
        <f>I5+5.85</f>
        <v>6.699999999999999</v>
      </c>
      <c r="J6" s="782">
        <f>J5+5.85</f>
        <v>6.369999999999999</v>
      </c>
      <c r="K6" s="783">
        <f>5.85+K5</f>
        <v>6.369999999999999</v>
      </c>
      <c r="L6" s="693">
        <f>L5+5.85</f>
        <v>6.6</v>
      </c>
      <c r="M6" s="803">
        <f>M5+5.85</f>
        <v>6.6</v>
      </c>
      <c r="N6" s="13"/>
      <c r="O6" s="805">
        <f>O5+5.85</f>
        <v>6.699999999999999</v>
      </c>
      <c r="P6" s="790"/>
    </row>
    <row r="7" spans="1:25" ht="12" thickBot="1">
      <c r="A7" s="861" t="s">
        <v>257</v>
      </c>
      <c r="B7" s="861"/>
      <c r="C7" s="861"/>
      <c r="D7" s="861"/>
      <c r="E7" s="861"/>
      <c r="F7" s="862"/>
      <c r="G7" s="863" t="s">
        <v>247</v>
      </c>
      <c r="H7" s="863"/>
      <c r="I7" s="863" t="s">
        <v>212</v>
      </c>
      <c r="J7" s="863" t="s">
        <v>247</v>
      </c>
      <c r="K7" s="863"/>
      <c r="L7" s="863"/>
      <c r="M7" s="863"/>
      <c r="N7" s="863" t="s">
        <v>212</v>
      </c>
      <c r="O7" s="863"/>
      <c r="P7" s="863"/>
      <c r="Q7" s="863" t="s">
        <v>212</v>
      </c>
      <c r="R7" s="217"/>
      <c r="V7" s="1" t="s">
        <v>11</v>
      </c>
      <c r="X7" s="13">
        <v>17</v>
      </c>
      <c r="Y7" s="13">
        <v>19</v>
      </c>
    </row>
    <row r="8" spans="1:26" ht="12" thickBot="1">
      <c r="A8" s="19"/>
      <c r="B8" s="20">
        <v>5</v>
      </c>
      <c r="C8" s="20">
        <v>10</v>
      </c>
      <c r="D8" s="20">
        <v>1</v>
      </c>
      <c r="E8" s="20">
        <v>2</v>
      </c>
      <c r="F8" s="20">
        <v>3</v>
      </c>
      <c r="G8" s="324">
        <v>4</v>
      </c>
      <c r="H8" s="20">
        <v>5</v>
      </c>
      <c r="I8" s="324">
        <v>6</v>
      </c>
      <c r="J8" s="324">
        <v>7</v>
      </c>
      <c r="K8" s="324">
        <v>8</v>
      </c>
      <c r="L8" s="324"/>
      <c r="M8" s="324">
        <v>11</v>
      </c>
      <c r="N8" s="324">
        <v>9</v>
      </c>
      <c r="O8" s="600"/>
      <c r="P8" s="600"/>
      <c r="Q8" s="600">
        <v>12</v>
      </c>
      <c r="R8" s="600">
        <v>13</v>
      </c>
      <c r="S8" s="324">
        <v>29</v>
      </c>
      <c r="T8" s="13">
        <v>14</v>
      </c>
      <c r="U8" s="717">
        <v>15</v>
      </c>
      <c r="V8" s="601"/>
      <c r="Z8" s="719">
        <v>16</v>
      </c>
    </row>
    <row r="9" spans="1:26" ht="54.75" customHeight="1" thickBot="1">
      <c r="A9" s="688" t="s">
        <v>13</v>
      </c>
      <c r="B9" s="602" t="s">
        <v>14</v>
      </c>
      <c r="C9" s="28" t="s">
        <v>15</v>
      </c>
      <c r="D9" s="678" t="s">
        <v>20</v>
      </c>
      <c r="E9" s="678" t="s">
        <v>21</v>
      </c>
      <c r="F9" s="679" t="s">
        <v>22</v>
      </c>
      <c r="G9" s="720" t="s">
        <v>234</v>
      </c>
      <c r="H9" s="603" t="s">
        <v>232</v>
      </c>
      <c r="I9" s="603" t="s">
        <v>233</v>
      </c>
      <c r="J9" s="604" t="s">
        <v>246</v>
      </c>
      <c r="K9" s="604" t="s">
        <v>229</v>
      </c>
      <c r="L9" s="702" t="s">
        <v>253</v>
      </c>
      <c r="M9" s="722" t="s">
        <v>237</v>
      </c>
      <c r="N9" s="605" t="s">
        <v>227</v>
      </c>
      <c r="O9" s="791" t="s">
        <v>93</v>
      </c>
      <c r="P9" s="791" t="s">
        <v>243</v>
      </c>
      <c r="Q9" s="721" t="s">
        <v>28</v>
      </c>
      <c r="R9" s="607" t="s">
        <v>228</v>
      </c>
      <c r="S9" s="608"/>
      <c r="T9" s="606" t="s">
        <v>258</v>
      </c>
      <c r="U9" s="609" t="s">
        <v>31</v>
      </c>
      <c r="V9" s="610" t="s">
        <v>13</v>
      </c>
      <c r="Z9" s="718" t="s">
        <v>252</v>
      </c>
    </row>
    <row r="10" spans="1:26" ht="12" hidden="1" thickBot="1">
      <c r="A10" s="689">
        <v>2020</v>
      </c>
      <c r="B10" s="57">
        <v>1102991</v>
      </c>
      <c r="C10" s="43">
        <f>30000</f>
        <v>30000</v>
      </c>
      <c r="D10" s="340"/>
      <c r="E10" s="340">
        <v>875000</v>
      </c>
      <c r="F10" s="341"/>
      <c r="G10" s="611"/>
      <c r="H10" s="612"/>
      <c r="I10" s="613"/>
      <c r="J10" s="614"/>
      <c r="K10" s="614"/>
      <c r="L10" s="703"/>
      <c r="M10" s="704"/>
      <c r="N10" s="615">
        <f>SUM(B10:G10)</f>
        <v>2007991</v>
      </c>
      <c r="O10" s="704"/>
      <c r="P10" s="704"/>
      <c r="Q10" s="616" t="e">
        <f>SUM(#REF!)</f>
        <v>#REF!</v>
      </c>
      <c r="R10" s="617">
        <v>9068982</v>
      </c>
      <c r="S10" s="618"/>
      <c r="U10" s="619">
        <v>0</v>
      </c>
      <c r="V10" s="620">
        <v>2020</v>
      </c>
      <c r="W10" s="626" t="s">
        <v>32</v>
      </c>
      <c r="X10" s="367"/>
      <c r="Y10" s="367"/>
      <c r="Z10" s="713"/>
    </row>
    <row r="11" spans="1:26" ht="12" hidden="1" thickBot="1">
      <c r="A11" s="690">
        <v>2021</v>
      </c>
      <c r="B11" s="621"/>
      <c r="C11" s="349"/>
      <c r="D11" s="227"/>
      <c r="E11" s="227">
        <v>3375000</v>
      </c>
      <c r="F11" s="350"/>
      <c r="G11" s="351">
        <v>21000</v>
      </c>
      <c r="H11" s="352"/>
      <c r="I11" s="66"/>
      <c r="J11" s="622"/>
      <c r="K11" s="622"/>
      <c r="L11" s="705"/>
      <c r="M11" s="706"/>
      <c r="N11" s="48">
        <f>SUM(B11:G11)</f>
        <v>3396000</v>
      </c>
      <c r="O11" s="706"/>
      <c r="P11" s="706"/>
      <c r="Q11" s="623">
        <f>SUM(J11:J11)</f>
        <v>0</v>
      </c>
      <c r="R11" s="624">
        <f>N11+Q11</f>
        <v>3396000</v>
      </c>
      <c r="S11" s="68"/>
      <c r="U11" s="625">
        <f>S11-R11</f>
        <v>-3396000</v>
      </c>
      <c r="V11" s="348">
        <v>2021</v>
      </c>
      <c r="W11" s="711" t="s">
        <v>34</v>
      </c>
      <c r="X11" s="159"/>
      <c r="Y11" s="159"/>
      <c r="Z11" s="713"/>
    </row>
    <row r="12" spans="1:26" ht="12" hidden="1" thickBot="1">
      <c r="A12" s="690">
        <v>2023</v>
      </c>
      <c r="B12" s="626"/>
      <c r="C12" s="45"/>
      <c r="D12" s="43"/>
      <c r="E12" s="43"/>
      <c r="F12" s="44"/>
      <c r="G12" s="723">
        <f>25000+2000000+2000000+1890000+1565000+565000+565000</f>
        <v>8610000</v>
      </c>
      <c r="H12" s="699">
        <v>100000</v>
      </c>
      <c r="I12" s="700">
        <v>1500000</v>
      </c>
      <c r="J12" s="627">
        <v>1000000</v>
      </c>
      <c r="K12" s="627"/>
      <c r="L12" s="705"/>
      <c r="M12" s="707"/>
      <c r="N12" s="628">
        <f>SUM(B12:J12)+Z12</f>
        <v>11210000</v>
      </c>
      <c r="O12" s="792"/>
      <c r="P12" s="792"/>
      <c r="Q12" s="623" t="e">
        <f>SUM(L12+#REF!)</f>
        <v>#REF!</v>
      </c>
      <c r="R12" s="624" t="e">
        <f>SUM(D12:K12)+Q12</f>
        <v>#REF!</v>
      </c>
      <c r="S12" s="68"/>
      <c r="T12" s="629">
        <v>11210000</v>
      </c>
      <c r="U12" s="630" t="e">
        <f>R12-T12</f>
        <v>#REF!</v>
      </c>
      <c r="V12" s="823">
        <v>2023</v>
      </c>
      <c r="W12" s="817"/>
      <c r="X12" s="159"/>
      <c r="Y12" s="159"/>
      <c r="Z12" s="713"/>
    </row>
    <row r="13" spans="1:27" ht="11.25">
      <c r="A13" s="690">
        <v>2024</v>
      </c>
      <c r="B13" s="626"/>
      <c r="C13" s="45"/>
      <c r="D13" s="43">
        <v>2500000</v>
      </c>
      <c r="E13" s="43">
        <f>1875000</f>
        <v>1875000</v>
      </c>
      <c r="F13" s="44"/>
      <c r="G13" s="814">
        <f>65000+500000-565000+2500000</f>
        <v>2500000</v>
      </c>
      <c r="H13" s="699">
        <v>150000</v>
      </c>
      <c r="I13" s="700">
        <v>200000</v>
      </c>
      <c r="J13" s="627">
        <v>1000000</v>
      </c>
      <c r="K13" s="627">
        <v>50000</v>
      </c>
      <c r="L13" s="705">
        <v>1000000</v>
      </c>
      <c r="M13" s="707"/>
      <c r="N13" s="628">
        <f>SUM(B13:M13)</f>
        <v>9275000</v>
      </c>
      <c r="O13" s="792"/>
      <c r="P13" s="792"/>
      <c r="Q13" s="623">
        <f>SUM(O13+P13)</f>
        <v>0</v>
      </c>
      <c r="R13" s="624">
        <f>SUM(D13:M13)+Q13</f>
        <v>9275000</v>
      </c>
      <c r="S13" s="68"/>
      <c r="T13" s="629">
        <v>9275000</v>
      </c>
      <c r="U13" s="820">
        <f>R13-T13</f>
        <v>0</v>
      </c>
      <c r="V13" s="824">
        <v>2024</v>
      </c>
      <c r="W13" s="821" t="s">
        <v>35</v>
      </c>
      <c r="X13" s="818" t="s">
        <v>36</v>
      </c>
      <c r="Y13" s="159"/>
      <c r="Z13" s="714"/>
      <c r="AA13" s="348">
        <v>2024</v>
      </c>
    </row>
    <row r="14" spans="1:27" ht="11.25">
      <c r="A14" s="690">
        <v>2025</v>
      </c>
      <c r="B14" s="626"/>
      <c r="C14" s="45"/>
      <c r="D14" s="43">
        <v>2500000</v>
      </c>
      <c r="E14" s="43">
        <f>1875000</f>
        <v>1875000</v>
      </c>
      <c r="F14" s="44"/>
      <c r="G14" s="723">
        <f>65000+1500000-1000000-565000</f>
        <v>0</v>
      </c>
      <c r="H14" s="699">
        <v>150000</v>
      </c>
      <c r="I14" s="700">
        <v>200000</v>
      </c>
      <c r="J14" s="627">
        <v>1000000</v>
      </c>
      <c r="K14" s="627">
        <v>100000</v>
      </c>
      <c r="L14" s="705">
        <v>1000000</v>
      </c>
      <c r="M14" s="707">
        <v>1000000</v>
      </c>
      <c r="N14" s="628">
        <f>SUM(B14:L14)+Z14</f>
        <v>7825000</v>
      </c>
      <c r="O14" s="792">
        <f>'nowy 2024 -27,5mln'!O18</f>
        <v>1000000</v>
      </c>
      <c r="P14" s="792"/>
      <c r="Q14" s="623">
        <f aca="true" t="shared" si="0" ref="Q14:Q33">SUM(O14+P14)</f>
        <v>1000000</v>
      </c>
      <c r="R14" s="624">
        <f>SUM(D14:M14)+Q14</f>
        <v>8825000</v>
      </c>
      <c r="S14" s="68"/>
      <c r="T14" s="629">
        <v>8825000</v>
      </c>
      <c r="U14" s="820">
        <f>R14-T14</f>
        <v>0</v>
      </c>
      <c r="V14" s="825">
        <v>2025</v>
      </c>
      <c r="W14" s="821" t="s">
        <v>36</v>
      </c>
      <c r="X14" s="818" t="s">
        <v>37</v>
      </c>
      <c r="Y14" s="159"/>
      <c r="Z14" s="714">
        <v>1000000</v>
      </c>
      <c r="AA14" s="348">
        <v>2025</v>
      </c>
    </row>
    <row r="15" spans="1:27" ht="11.25">
      <c r="A15" s="690">
        <v>2026</v>
      </c>
      <c r="B15" s="626"/>
      <c r="C15" s="45"/>
      <c r="D15" s="43">
        <v>2500000</v>
      </c>
      <c r="E15" s="43">
        <v>1875000</v>
      </c>
      <c r="F15" s="44"/>
      <c r="G15" s="814">
        <f>65000+1500000-565000-1000000</f>
        <v>0</v>
      </c>
      <c r="H15" s="699">
        <v>200000</v>
      </c>
      <c r="I15" s="700">
        <v>200000</v>
      </c>
      <c r="J15" s="627">
        <v>1000000</v>
      </c>
      <c r="K15" s="627">
        <v>1500000</v>
      </c>
      <c r="L15" s="705"/>
      <c r="M15" s="707">
        <v>1000000</v>
      </c>
      <c r="N15" s="628">
        <f>SUM(B15:L15)+Z15</f>
        <v>8275000</v>
      </c>
      <c r="O15" s="792">
        <f>'nowy 2024 -27,5mln'!O19</f>
        <v>1000000</v>
      </c>
      <c r="P15" s="792">
        <f>'nowy 2025 - 15 mln'!O18</f>
        <v>1000000</v>
      </c>
      <c r="Q15" s="623">
        <f t="shared" si="0"/>
        <v>2000000</v>
      </c>
      <c r="R15" s="624">
        <f aca="true" t="shared" si="1" ref="R15:R33">SUM(D15:M15)+Q15</f>
        <v>10275000</v>
      </c>
      <c r="S15" s="68"/>
      <c r="T15" s="629">
        <v>10275000</v>
      </c>
      <c r="U15" s="820">
        <f aca="true" t="shared" si="2" ref="U15:U33">R15-T15</f>
        <v>0</v>
      </c>
      <c r="V15" s="825">
        <v>2026</v>
      </c>
      <c r="W15" s="821" t="s">
        <v>37</v>
      </c>
      <c r="X15" s="818" t="s">
        <v>248</v>
      </c>
      <c r="Y15" s="159"/>
      <c r="Z15" s="714">
        <v>1000000</v>
      </c>
      <c r="AA15" s="348">
        <v>2026</v>
      </c>
    </row>
    <row r="16" spans="1:27" ht="11.25">
      <c r="A16" s="690">
        <v>2027</v>
      </c>
      <c r="B16" s="626"/>
      <c r="C16" s="45"/>
      <c r="D16" s="43">
        <v>2500000</v>
      </c>
      <c r="E16" s="43">
        <v>2000000</v>
      </c>
      <c r="F16" s="44">
        <v>1875000</v>
      </c>
      <c r="G16" s="814">
        <f>1000000-1000000</f>
        <v>0</v>
      </c>
      <c r="H16" s="699">
        <v>200000</v>
      </c>
      <c r="I16" s="700">
        <v>200000</v>
      </c>
      <c r="J16" s="627">
        <v>1000000</v>
      </c>
      <c r="K16" s="627">
        <v>1000000</v>
      </c>
      <c r="L16" s="705"/>
      <c r="M16" s="707">
        <v>1000000</v>
      </c>
      <c r="N16" s="628">
        <f>SUM(B16:L16)+Z16</f>
        <v>9275000</v>
      </c>
      <c r="O16" s="792">
        <f>'nowy 2024 -27,5mln'!O20</f>
        <v>1500000</v>
      </c>
      <c r="P16" s="792">
        <f>'nowy 2025 - 15 mln'!O19</f>
        <v>1000000</v>
      </c>
      <c r="Q16" s="623">
        <f t="shared" si="0"/>
        <v>2500000</v>
      </c>
      <c r="R16" s="624">
        <f t="shared" si="1"/>
        <v>12275000</v>
      </c>
      <c r="S16" s="68"/>
      <c r="T16" s="629">
        <v>12275000</v>
      </c>
      <c r="U16" s="820">
        <f t="shared" si="2"/>
        <v>0</v>
      </c>
      <c r="V16" s="825">
        <v>2027</v>
      </c>
      <c r="W16" s="822" t="s">
        <v>38</v>
      </c>
      <c r="X16" s="819" t="s">
        <v>249</v>
      </c>
      <c r="Y16" s="819" t="s">
        <v>32</v>
      </c>
      <c r="Z16" s="714">
        <v>500000</v>
      </c>
      <c r="AA16" s="348">
        <v>2027</v>
      </c>
    </row>
    <row r="17" spans="1:27" ht="11.25">
      <c r="A17" s="690">
        <v>2028</v>
      </c>
      <c r="B17" s="626"/>
      <c r="C17" s="45"/>
      <c r="D17" s="43"/>
      <c r="E17" s="43">
        <v>2000000</v>
      </c>
      <c r="F17" s="44">
        <v>5100000</v>
      </c>
      <c r="G17" s="814">
        <f>1000000-500000</f>
        <v>500000</v>
      </c>
      <c r="H17" s="699">
        <v>350000</v>
      </c>
      <c r="I17" s="700">
        <v>200000</v>
      </c>
      <c r="J17" s="627">
        <v>1000000</v>
      </c>
      <c r="K17" s="627">
        <v>100000</v>
      </c>
      <c r="L17" s="705"/>
      <c r="M17" s="828">
        <v>1000000</v>
      </c>
      <c r="N17" s="628">
        <f>SUM(B17:L17)</f>
        <v>9250000</v>
      </c>
      <c r="O17" s="792">
        <f>'nowy 2024 -27,5mln'!O21</f>
        <v>1500000</v>
      </c>
      <c r="P17" s="792">
        <f>'nowy 2025 - 15 mln'!O20</f>
        <v>1000000</v>
      </c>
      <c r="Q17" s="623">
        <f t="shared" si="0"/>
        <v>2500000</v>
      </c>
      <c r="R17" s="624">
        <f t="shared" si="1"/>
        <v>12750000</v>
      </c>
      <c r="S17" s="68"/>
      <c r="T17" s="629">
        <v>12750000</v>
      </c>
      <c r="U17" s="820">
        <f>R17-T17</f>
        <v>0</v>
      </c>
      <c r="V17" s="825">
        <v>2028</v>
      </c>
      <c r="W17" s="822" t="s">
        <v>39</v>
      </c>
      <c r="X17" s="816"/>
      <c r="Y17" s="819" t="s">
        <v>250</v>
      </c>
      <c r="Z17" s="714"/>
      <c r="AA17" s="348">
        <v>2028</v>
      </c>
    </row>
    <row r="18" spans="1:27" ht="11.25">
      <c r="A18" s="690">
        <v>2029</v>
      </c>
      <c r="B18" s="626"/>
      <c r="C18" s="45"/>
      <c r="D18" s="43"/>
      <c r="E18" s="43">
        <v>1375000</v>
      </c>
      <c r="F18" s="44">
        <v>5100000</v>
      </c>
      <c r="G18" s="709">
        <v>500000</v>
      </c>
      <c r="H18" s="699">
        <v>1000000</v>
      </c>
      <c r="I18" s="700">
        <v>200000</v>
      </c>
      <c r="J18" s="627">
        <v>1000000</v>
      </c>
      <c r="K18" s="627">
        <v>100000</v>
      </c>
      <c r="L18" s="705"/>
      <c r="M18" s="828">
        <v>1000000</v>
      </c>
      <c r="N18" s="628">
        <f>SUM(B18:L18)</f>
        <v>9275000</v>
      </c>
      <c r="O18" s="792">
        <f>'nowy 2024 -27,5mln'!O22</f>
        <v>1500000</v>
      </c>
      <c r="P18" s="792">
        <f>'nowy 2025 - 15 mln'!O21</f>
        <v>1000000</v>
      </c>
      <c r="Q18" s="623">
        <f t="shared" si="0"/>
        <v>2500000</v>
      </c>
      <c r="R18" s="624">
        <f>SUM(D18:M18)+Q18</f>
        <v>12775000</v>
      </c>
      <c r="S18" s="68"/>
      <c r="T18" s="629">
        <v>12775000</v>
      </c>
      <c r="U18" s="820">
        <f t="shared" si="2"/>
        <v>0</v>
      </c>
      <c r="V18" s="825">
        <v>2029</v>
      </c>
      <c r="W18" s="822" t="s">
        <v>40</v>
      </c>
      <c r="X18" s="816"/>
      <c r="Y18" s="819" t="s">
        <v>36</v>
      </c>
      <c r="Z18" s="714"/>
      <c r="AA18" s="348">
        <v>2029</v>
      </c>
    </row>
    <row r="19" spans="1:27" ht="11.25">
      <c r="A19" s="690">
        <v>2030</v>
      </c>
      <c r="B19" s="626"/>
      <c r="C19" s="45"/>
      <c r="D19" s="43"/>
      <c r="E19" s="43">
        <v>1375000</v>
      </c>
      <c r="F19" s="44">
        <v>5323000</v>
      </c>
      <c r="G19" s="709">
        <v>500000</v>
      </c>
      <c r="H19" s="699">
        <v>1000000</v>
      </c>
      <c r="I19" s="700">
        <v>200000</v>
      </c>
      <c r="J19" s="627">
        <v>1000000</v>
      </c>
      <c r="K19" s="627">
        <v>100000</v>
      </c>
      <c r="L19" s="705"/>
      <c r="M19" s="828">
        <v>1000000</v>
      </c>
      <c r="N19" s="628">
        <f aca="true" t="shared" si="3" ref="N19:N33">SUM(B19:L19)</f>
        <v>9498000</v>
      </c>
      <c r="O19" s="792">
        <f>'nowy 2024 -27,5mln'!O23</f>
        <v>1500000</v>
      </c>
      <c r="P19" s="792">
        <f>'nowy 2025 - 15 mln'!O22</f>
        <v>1000000</v>
      </c>
      <c r="Q19" s="623">
        <f t="shared" si="0"/>
        <v>2500000</v>
      </c>
      <c r="R19" s="624">
        <f t="shared" si="1"/>
        <v>12998000</v>
      </c>
      <c r="S19" s="68"/>
      <c r="T19" s="629">
        <v>12998000</v>
      </c>
      <c r="U19" s="820">
        <f t="shared" si="2"/>
        <v>0</v>
      </c>
      <c r="V19" s="825">
        <v>2030</v>
      </c>
      <c r="W19" s="822" t="s">
        <v>41</v>
      </c>
      <c r="X19" s="816"/>
      <c r="Y19" s="819" t="s">
        <v>37</v>
      </c>
      <c r="Z19" s="714"/>
      <c r="AA19" s="348">
        <v>2030</v>
      </c>
    </row>
    <row r="20" spans="1:27" ht="11.25">
      <c r="A20" s="690">
        <v>2031</v>
      </c>
      <c r="B20" s="626"/>
      <c r="C20" s="45"/>
      <c r="D20" s="43"/>
      <c r="E20" s="43">
        <v>0</v>
      </c>
      <c r="F20" s="44">
        <v>5700000</v>
      </c>
      <c r="G20" s="709">
        <v>652000</v>
      </c>
      <c r="H20" s="699">
        <v>1000000</v>
      </c>
      <c r="I20" s="700">
        <v>200000</v>
      </c>
      <c r="J20" s="627">
        <v>1000000</v>
      </c>
      <c r="K20" s="627">
        <v>100000</v>
      </c>
      <c r="L20" s="705"/>
      <c r="M20" s="828">
        <v>1000000</v>
      </c>
      <c r="N20" s="628">
        <f t="shared" si="3"/>
        <v>8652000</v>
      </c>
      <c r="O20" s="792">
        <f>'nowy 2024 -27,5mln'!O24</f>
        <v>1500000</v>
      </c>
      <c r="P20" s="792">
        <f>'nowy 2025 - 15 mln'!O23</f>
        <v>1000000</v>
      </c>
      <c r="Q20" s="623">
        <f t="shared" si="0"/>
        <v>2500000</v>
      </c>
      <c r="R20" s="624">
        <f t="shared" si="1"/>
        <v>12152000</v>
      </c>
      <c r="S20" s="68"/>
      <c r="T20" s="629">
        <v>12152000</v>
      </c>
      <c r="U20" s="820">
        <f t="shared" si="2"/>
        <v>0</v>
      </c>
      <c r="V20" s="825">
        <v>2031</v>
      </c>
      <c r="Y20" s="818" t="s">
        <v>248</v>
      </c>
      <c r="Z20" s="714"/>
      <c r="AA20" s="348">
        <v>2031</v>
      </c>
    </row>
    <row r="21" spans="1:27" ht="11.25">
      <c r="A21" s="690">
        <v>2032</v>
      </c>
      <c r="B21" s="626"/>
      <c r="C21" s="45"/>
      <c r="D21" s="43"/>
      <c r="E21" s="43">
        <v>0</v>
      </c>
      <c r="F21" s="44">
        <v>1941000</v>
      </c>
      <c r="G21" s="709">
        <v>195000</v>
      </c>
      <c r="H21" s="699">
        <v>2000000</v>
      </c>
      <c r="I21" s="700">
        <v>200000</v>
      </c>
      <c r="J21" s="627">
        <v>1000000</v>
      </c>
      <c r="K21" s="627">
        <v>500000</v>
      </c>
      <c r="L21" s="705"/>
      <c r="M21" s="828">
        <v>1000000</v>
      </c>
      <c r="N21" s="628">
        <f t="shared" si="3"/>
        <v>5836000</v>
      </c>
      <c r="O21" s="792">
        <f>'nowy 2024 -27,5mln'!O25</f>
        <v>1000000</v>
      </c>
      <c r="P21" s="792">
        <f>'nowy 2025 - 15 mln'!O24</f>
        <v>1000000</v>
      </c>
      <c r="Q21" s="623">
        <f t="shared" si="0"/>
        <v>2000000</v>
      </c>
      <c r="R21" s="624">
        <f t="shared" si="1"/>
        <v>8836000</v>
      </c>
      <c r="S21" s="68"/>
      <c r="T21" s="629">
        <v>8836000</v>
      </c>
      <c r="U21" s="820">
        <f>R21-T21</f>
        <v>0</v>
      </c>
      <c r="V21" s="825">
        <v>2032</v>
      </c>
      <c r="Y21" s="818" t="s">
        <v>251</v>
      </c>
      <c r="Z21" s="714"/>
      <c r="AA21" s="348">
        <v>2032</v>
      </c>
    </row>
    <row r="22" spans="1:27" ht="11.25">
      <c r="A22" s="690">
        <v>2033</v>
      </c>
      <c r="B22" s="626"/>
      <c r="C22" s="45"/>
      <c r="D22" s="43"/>
      <c r="E22" s="43">
        <v>0</v>
      </c>
      <c r="F22" s="44"/>
      <c r="G22" s="709">
        <v>195000</v>
      </c>
      <c r="H22" s="699">
        <v>2000000</v>
      </c>
      <c r="I22" s="700">
        <v>200000</v>
      </c>
      <c r="J22" s="627">
        <v>1000000</v>
      </c>
      <c r="K22" s="627">
        <v>1400000</v>
      </c>
      <c r="L22" s="705"/>
      <c r="M22" s="828">
        <v>1000000</v>
      </c>
      <c r="N22" s="628">
        <f t="shared" si="3"/>
        <v>4795000</v>
      </c>
      <c r="O22" s="792">
        <f>'nowy 2024 -27,5mln'!O26</f>
        <v>1000000</v>
      </c>
      <c r="P22" s="792">
        <f>'nowy 2025 - 15 mln'!O25</f>
        <v>1000000</v>
      </c>
      <c r="Q22" s="623">
        <f t="shared" si="0"/>
        <v>2000000</v>
      </c>
      <c r="R22" s="624">
        <f>SUM(D22:M22)+Q22</f>
        <v>7795000</v>
      </c>
      <c r="S22" s="68"/>
      <c r="T22" s="629">
        <v>7795000</v>
      </c>
      <c r="U22" s="820">
        <f>R22-T22</f>
        <v>0</v>
      </c>
      <c r="V22" s="825">
        <v>2033</v>
      </c>
      <c r="Z22" s="714"/>
      <c r="AA22" s="348">
        <v>2033</v>
      </c>
    </row>
    <row r="23" spans="1:27" ht="11.25">
      <c r="A23" s="690">
        <v>2034</v>
      </c>
      <c r="B23" s="626"/>
      <c r="C23" s="45"/>
      <c r="D23" s="43"/>
      <c r="E23" s="43">
        <v>0</v>
      </c>
      <c r="F23" s="44"/>
      <c r="G23" s="709">
        <f>695000-500000</f>
        <v>195000</v>
      </c>
      <c r="H23" s="699">
        <v>2000000</v>
      </c>
      <c r="I23" s="700"/>
      <c r="J23" s="627">
        <v>1000000</v>
      </c>
      <c r="K23" s="827">
        <v>1400000</v>
      </c>
      <c r="L23" s="705"/>
      <c r="M23" s="828">
        <v>1000000</v>
      </c>
      <c r="N23" s="628">
        <f t="shared" si="3"/>
        <v>4595000</v>
      </c>
      <c r="O23" s="792">
        <f>'nowy 2024 -27,5mln'!O27</f>
        <v>1000000</v>
      </c>
      <c r="P23" s="792">
        <f>'nowy 2025 - 15 mln'!O26</f>
        <v>1000000</v>
      </c>
      <c r="Q23" s="623">
        <f t="shared" si="0"/>
        <v>2000000</v>
      </c>
      <c r="R23" s="624">
        <f t="shared" si="1"/>
        <v>7595000</v>
      </c>
      <c r="S23" s="68"/>
      <c r="T23" s="629">
        <v>7595000</v>
      </c>
      <c r="U23" s="820">
        <f>R23-T23</f>
        <v>0</v>
      </c>
      <c r="V23" s="825">
        <v>2034</v>
      </c>
      <c r="Z23" s="714"/>
      <c r="AA23" s="348">
        <v>2034</v>
      </c>
    </row>
    <row r="24" spans="1:26" ht="11.25">
      <c r="A24" s="690">
        <v>2035</v>
      </c>
      <c r="B24" s="626"/>
      <c r="C24" s="45"/>
      <c r="D24" s="43"/>
      <c r="E24" s="43">
        <v>0</v>
      </c>
      <c r="F24" s="44"/>
      <c r="G24" s="709">
        <f>695000-500000</f>
        <v>195000</v>
      </c>
      <c r="H24" s="699">
        <v>1000000</v>
      </c>
      <c r="I24" s="700"/>
      <c r="J24" s="627">
        <v>1000000</v>
      </c>
      <c r="K24" s="827">
        <v>1000000</v>
      </c>
      <c r="L24" s="705"/>
      <c r="M24" s="828">
        <v>1000000</v>
      </c>
      <c r="N24" s="628">
        <f t="shared" si="3"/>
        <v>3195000</v>
      </c>
      <c r="O24" s="792">
        <f>'nowy 2024 -27,5mln'!O28</f>
        <v>1000000</v>
      </c>
      <c r="P24" s="792">
        <f>'nowy 2025 - 15 mln'!O27</f>
        <v>1000000</v>
      </c>
      <c r="Q24" s="623">
        <f t="shared" si="0"/>
        <v>2000000</v>
      </c>
      <c r="R24" s="624">
        <f t="shared" si="1"/>
        <v>6195000</v>
      </c>
      <c r="S24" s="68"/>
      <c r="T24" s="629">
        <v>6195000</v>
      </c>
      <c r="U24" s="820">
        <f t="shared" si="2"/>
        <v>0</v>
      </c>
      <c r="V24" s="825">
        <v>2035</v>
      </c>
      <c r="Z24" s="713"/>
    </row>
    <row r="25" spans="1:26" ht="11.25">
      <c r="A25" s="690">
        <v>2036</v>
      </c>
      <c r="B25" s="626"/>
      <c r="C25" s="45"/>
      <c r="D25" s="43"/>
      <c r="E25" s="43">
        <v>0</v>
      </c>
      <c r="F25" s="44"/>
      <c r="G25" s="709">
        <f>1695000-1500000</f>
        <v>195000</v>
      </c>
      <c r="H25" s="699">
        <v>1000000</v>
      </c>
      <c r="I25" s="700"/>
      <c r="J25" s="627">
        <v>1000000</v>
      </c>
      <c r="K25" s="827">
        <v>1150000</v>
      </c>
      <c r="L25" s="705"/>
      <c r="M25" s="828">
        <v>1000000</v>
      </c>
      <c r="N25" s="628">
        <f t="shared" si="3"/>
        <v>3345000</v>
      </c>
      <c r="O25" s="792">
        <f>'nowy 2024 -27,5mln'!O29</f>
        <v>1000000</v>
      </c>
      <c r="P25" s="792">
        <f>'nowy 2025 - 15 mln'!O28</f>
        <v>1000000</v>
      </c>
      <c r="Q25" s="623">
        <f t="shared" si="0"/>
        <v>2000000</v>
      </c>
      <c r="R25" s="624">
        <f t="shared" si="1"/>
        <v>6345000</v>
      </c>
      <c r="S25" s="68"/>
      <c r="T25" s="629">
        <v>6345000</v>
      </c>
      <c r="U25" s="820">
        <f t="shared" si="2"/>
        <v>0</v>
      </c>
      <c r="V25" s="825">
        <v>2036</v>
      </c>
      <c r="Z25" s="713"/>
    </row>
    <row r="26" spans="1:26" ht="11.25">
      <c r="A26" s="690">
        <v>2037</v>
      </c>
      <c r="B26" s="626"/>
      <c r="C26" s="45"/>
      <c r="D26" s="43"/>
      <c r="E26" s="43">
        <v>0</v>
      </c>
      <c r="F26" s="44"/>
      <c r="G26" s="709">
        <f>770000-500000</f>
        <v>270000</v>
      </c>
      <c r="H26" s="699">
        <v>1000000</v>
      </c>
      <c r="I26" s="700"/>
      <c r="J26" s="627">
        <v>1000000</v>
      </c>
      <c r="K26" s="827">
        <v>3000000</v>
      </c>
      <c r="L26" s="705"/>
      <c r="M26" s="828">
        <v>1000000</v>
      </c>
      <c r="N26" s="628">
        <f t="shared" si="3"/>
        <v>5270000</v>
      </c>
      <c r="O26" s="792">
        <f>'nowy 2024 -27,5mln'!O30</f>
        <v>1000000</v>
      </c>
      <c r="P26" s="792">
        <f>'nowy 2025 - 15 mln'!O29</f>
        <v>1000000</v>
      </c>
      <c r="Q26" s="623">
        <f t="shared" si="0"/>
        <v>2000000</v>
      </c>
      <c r="R26" s="624">
        <f t="shared" si="1"/>
        <v>8270000</v>
      </c>
      <c r="S26" s="68"/>
      <c r="T26" s="629">
        <v>8270000</v>
      </c>
      <c r="U26" s="820">
        <f t="shared" si="2"/>
        <v>0</v>
      </c>
      <c r="V26" s="825">
        <v>2037</v>
      </c>
      <c r="Z26" s="715"/>
    </row>
    <row r="27" spans="1:26" ht="11.25">
      <c r="A27" s="690">
        <v>2038</v>
      </c>
      <c r="B27" s="626"/>
      <c r="C27" s="45"/>
      <c r="D27" s="43"/>
      <c r="E27" s="43">
        <v>0</v>
      </c>
      <c r="F27" s="44"/>
      <c r="G27" s="709">
        <f>770000-500000</f>
        <v>270000</v>
      </c>
      <c r="H27" s="699">
        <v>1000000</v>
      </c>
      <c r="I27" s="700"/>
      <c r="J27" s="627">
        <v>1000000</v>
      </c>
      <c r="K27" s="827">
        <v>2000000</v>
      </c>
      <c r="L27" s="705"/>
      <c r="M27" s="828">
        <v>1000000</v>
      </c>
      <c r="N27" s="628">
        <f t="shared" si="3"/>
        <v>4270000</v>
      </c>
      <c r="O27" s="792">
        <f>'nowy 2024 -27,5mln'!O31</f>
        <v>1000000</v>
      </c>
      <c r="P27" s="792">
        <f>'nowy 2025 - 15 mln'!O30</f>
        <v>1000000</v>
      </c>
      <c r="Q27" s="623">
        <f t="shared" si="0"/>
        <v>2000000</v>
      </c>
      <c r="R27" s="624">
        <f t="shared" si="1"/>
        <v>7270000</v>
      </c>
      <c r="S27" s="68"/>
      <c r="T27" s="629">
        <v>7270000</v>
      </c>
      <c r="U27" s="820">
        <f t="shared" si="2"/>
        <v>0</v>
      </c>
      <c r="V27" s="825">
        <v>2038</v>
      </c>
      <c r="Z27" s="715"/>
    </row>
    <row r="28" spans="1:26" ht="11.25">
      <c r="A28" s="690">
        <v>2039</v>
      </c>
      <c r="B28" s="626"/>
      <c r="C28" s="45"/>
      <c r="D28" s="43"/>
      <c r="E28" s="43">
        <v>0</v>
      </c>
      <c r="F28" s="44"/>
      <c r="G28" s="709">
        <f>770000-700000</f>
        <v>70000</v>
      </c>
      <c r="H28" s="699">
        <v>1000000</v>
      </c>
      <c r="I28" s="700"/>
      <c r="J28" s="627">
        <v>1000000</v>
      </c>
      <c r="K28" s="827">
        <v>2000000</v>
      </c>
      <c r="L28" s="705"/>
      <c r="M28" s="828">
        <v>1000000</v>
      </c>
      <c r="N28" s="628">
        <f t="shared" si="3"/>
        <v>4070000</v>
      </c>
      <c r="O28" s="792">
        <f>'nowy 2024 -27,5mln'!O32</f>
        <v>1000000</v>
      </c>
      <c r="P28" s="792">
        <f>'nowy 2025 - 15 mln'!O31</f>
        <v>1000000</v>
      </c>
      <c r="Q28" s="623">
        <f t="shared" si="0"/>
        <v>2000000</v>
      </c>
      <c r="R28" s="624">
        <f t="shared" si="1"/>
        <v>7070000</v>
      </c>
      <c r="S28" s="68"/>
      <c r="T28" s="629">
        <v>7070000</v>
      </c>
      <c r="U28" s="820">
        <f t="shared" si="2"/>
        <v>0</v>
      </c>
      <c r="V28" s="825">
        <v>2039</v>
      </c>
      <c r="Z28" s="715"/>
    </row>
    <row r="29" spans="1:26" ht="11.25">
      <c r="A29" s="690">
        <v>2040</v>
      </c>
      <c r="B29" s="626"/>
      <c r="C29" s="45"/>
      <c r="D29" s="43"/>
      <c r="E29" s="43">
        <v>0</v>
      </c>
      <c r="F29" s="44"/>
      <c r="G29" s="709">
        <f>770000-700000</f>
        <v>70000</v>
      </c>
      <c r="H29" s="699">
        <v>1000000</v>
      </c>
      <c r="I29" s="700"/>
      <c r="J29" s="627">
        <v>1000000</v>
      </c>
      <c r="K29" s="827">
        <v>2000000</v>
      </c>
      <c r="L29" s="705"/>
      <c r="M29" s="828">
        <v>1000000</v>
      </c>
      <c r="N29" s="628">
        <f t="shared" si="3"/>
        <v>4070000</v>
      </c>
      <c r="O29" s="792">
        <f>'nowy 2024 -27,5mln'!O33</f>
        <v>1000000</v>
      </c>
      <c r="P29" s="792">
        <f>'nowy 2025 - 15 mln'!O32</f>
        <v>1000000</v>
      </c>
      <c r="Q29" s="623">
        <f t="shared" si="0"/>
        <v>2000000</v>
      </c>
      <c r="R29" s="624">
        <f t="shared" si="1"/>
        <v>7070000</v>
      </c>
      <c r="S29" s="68"/>
      <c r="T29" s="629">
        <v>7070000</v>
      </c>
      <c r="U29" s="820">
        <f t="shared" si="2"/>
        <v>0</v>
      </c>
      <c r="V29" s="825">
        <v>2040</v>
      </c>
      <c r="Z29" s="713"/>
    </row>
    <row r="30" spans="1:26" ht="11.25">
      <c r="A30" s="690">
        <v>2041</v>
      </c>
      <c r="B30" s="631"/>
      <c r="C30" s="45"/>
      <c r="D30" s="43"/>
      <c r="E30" s="43"/>
      <c r="F30" s="44"/>
      <c r="G30" s="709">
        <f>647000-600000</f>
        <v>47000</v>
      </c>
      <c r="H30" s="701">
        <f>1100000-306493.82-50000-43506.18</f>
        <v>699999.9999999999</v>
      </c>
      <c r="I30" s="700"/>
      <c r="J30" s="627"/>
      <c r="K30" s="827">
        <v>2500000</v>
      </c>
      <c r="L30" s="705"/>
      <c r="M30" s="828">
        <v>1000000</v>
      </c>
      <c r="N30" s="628">
        <f>SUM(B30:L30)</f>
        <v>3247000</v>
      </c>
      <c r="O30" s="792">
        <f>'nowy 2024 -27,5mln'!O34</f>
        <v>1000000</v>
      </c>
      <c r="P30" s="792" t="e">
        <f>'nowy 2025 - 15 mln'!#REF!</f>
        <v>#REF!</v>
      </c>
      <c r="Q30" s="623" t="e">
        <f t="shared" si="0"/>
        <v>#REF!</v>
      </c>
      <c r="R30" s="624" t="e">
        <f t="shared" si="1"/>
        <v>#REF!</v>
      </c>
      <c r="S30" s="51"/>
      <c r="T30" s="629">
        <v>5247000</v>
      </c>
      <c r="U30" s="820" t="e">
        <f t="shared" si="2"/>
        <v>#REF!</v>
      </c>
      <c r="V30" s="825">
        <v>2041</v>
      </c>
      <c r="Z30" s="713"/>
    </row>
    <row r="31" spans="1:26" ht="11.25">
      <c r="A31" s="690">
        <v>2042</v>
      </c>
      <c r="B31" s="367"/>
      <c r="C31" s="45"/>
      <c r="D31" s="43"/>
      <c r="E31" s="43"/>
      <c r="F31" s="44"/>
      <c r="G31" s="709"/>
      <c r="H31" s="701"/>
      <c r="I31" s="700"/>
      <c r="J31" s="627">
        <f>'2022 - 18 mln'!O38</f>
        <v>0</v>
      </c>
      <c r="K31" s="627">
        <v>0</v>
      </c>
      <c r="L31" s="705"/>
      <c r="M31" s="828">
        <v>1000000</v>
      </c>
      <c r="N31" s="628">
        <f t="shared" si="3"/>
        <v>0</v>
      </c>
      <c r="O31" s="792">
        <f>'nowy 2024 -27,5mln'!O35</f>
        <v>1000000</v>
      </c>
      <c r="P31" s="792" t="e">
        <f>'nowy 2025 - 15 mln'!#REF!</f>
        <v>#REF!</v>
      </c>
      <c r="Q31" s="623" t="e">
        <f t="shared" si="0"/>
        <v>#REF!</v>
      </c>
      <c r="R31" s="624" t="e">
        <f t="shared" si="1"/>
        <v>#REF!</v>
      </c>
      <c r="S31" s="51"/>
      <c r="T31" s="629">
        <v>2000000</v>
      </c>
      <c r="U31" s="820" t="e">
        <f t="shared" si="2"/>
        <v>#REF!</v>
      </c>
      <c r="V31" s="825">
        <v>2042</v>
      </c>
      <c r="Z31" s="713"/>
    </row>
    <row r="32" spans="1:26" ht="11.25">
      <c r="A32" s="690">
        <v>2043</v>
      </c>
      <c r="B32" s="367"/>
      <c r="C32" s="45"/>
      <c r="D32" s="43"/>
      <c r="E32" s="43"/>
      <c r="F32" s="44"/>
      <c r="G32" s="351"/>
      <c r="H32" s="701"/>
      <c r="I32" s="700"/>
      <c r="J32" s="627"/>
      <c r="K32" s="627">
        <v>0</v>
      </c>
      <c r="L32" s="705"/>
      <c r="M32" s="828">
        <v>2000000</v>
      </c>
      <c r="N32" s="628">
        <f t="shared" si="3"/>
        <v>0</v>
      </c>
      <c r="O32" s="792">
        <f>'nowy 2024 -27,5mln'!O36</f>
        <v>2000000</v>
      </c>
      <c r="P32" s="792" t="e">
        <f>'nowy 2025 - 15 mln'!#REF!</f>
        <v>#REF!</v>
      </c>
      <c r="Q32" s="623" t="e">
        <f t="shared" si="0"/>
        <v>#REF!</v>
      </c>
      <c r="R32" s="624" t="e">
        <f t="shared" si="1"/>
        <v>#REF!</v>
      </c>
      <c r="S32" s="51"/>
      <c r="T32" s="629">
        <v>4000000</v>
      </c>
      <c r="U32" s="820" t="e">
        <f t="shared" si="2"/>
        <v>#REF!</v>
      </c>
      <c r="V32" s="825">
        <v>2043</v>
      </c>
      <c r="Z32" s="713"/>
    </row>
    <row r="33" spans="1:26" ht="12" thickBot="1">
      <c r="A33" s="690">
        <v>2044</v>
      </c>
      <c r="B33" s="367"/>
      <c r="C33" s="45"/>
      <c r="D33" s="43"/>
      <c r="E33" s="43"/>
      <c r="F33" s="44"/>
      <c r="G33" s="351"/>
      <c r="H33" s="701"/>
      <c r="I33" s="700"/>
      <c r="J33" s="627">
        <f>'2022 - 18 mln'!O40</f>
        <v>0</v>
      </c>
      <c r="K33" s="627">
        <v>0</v>
      </c>
      <c r="L33" s="705"/>
      <c r="M33" s="707"/>
      <c r="N33" s="628">
        <f t="shared" si="3"/>
        <v>0</v>
      </c>
      <c r="O33" s="792">
        <f>'nowy 2024 -27,5mln'!O37</f>
        <v>5000000</v>
      </c>
      <c r="P33" s="792" t="e">
        <f>'nowy 2025 - 15 mln'!#REF!</f>
        <v>#REF!</v>
      </c>
      <c r="Q33" s="623" t="e">
        <f t="shared" si="0"/>
        <v>#REF!</v>
      </c>
      <c r="R33" s="624" t="e">
        <f t="shared" si="1"/>
        <v>#REF!</v>
      </c>
      <c r="S33" s="51"/>
      <c r="T33" s="629">
        <v>5000000</v>
      </c>
      <c r="U33" s="820" t="e">
        <f t="shared" si="2"/>
        <v>#REF!</v>
      </c>
      <c r="V33" s="825">
        <v>2044</v>
      </c>
      <c r="Z33" s="713"/>
    </row>
    <row r="34" spans="1:26" ht="12" thickBot="1">
      <c r="A34" s="691" t="s">
        <v>42</v>
      </c>
      <c r="B34" s="381">
        <f>SUM(B11:B23)</f>
        <v>0</v>
      </c>
      <c r="C34" s="89">
        <f>SUM(C12:C30)</f>
        <v>0</v>
      </c>
      <c r="D34" s="735">
        <f aca="true" t="shared" si="4" ref="D34:U34">SUM(D13:D33)</f>
        <v>10000000</v>
      </c>
      <c r="E34" s="735">
        <f t="shared" si="4"/>
        <v>12375000</v>
      </c>
      <c r="F34" s="735">
        <f t="shared" si="4"/>
        <v>25039000</v>
      </c>
      <c r="G34" s="735">
        <f t="shared" si="4"/>
        <v>6354000</v>
      </c>
      <c r="H34" s="735">
        <f t="shared" si="4"/>
        <v>16750000</v>
      </c>
      <c r="I34" s="735">
        <f t="shared" si="4"/>
        <v>2000000</v>
      </c>
      <c r="J34" s="735">
        <f t="shared" si="4"/>
        <v>17000000</v>
      </c>
      <c r="K34" s="735">
        <f t="shared" si="4"/>
        <v>20000000</v>
      </c>
      <c r="L34" s="735">
        <f t="shared" si="4"/>
        <v>2000000</v>
      </c>
      <c r="M34" s="735">
        <f t="shared" si="4"/>
        <v>20000000</v>
      </c>
      <c r="N34" s="735">
        <f t="shared" si="4"/>
        <v>114018000</v>
      </c>
      <c r="O34" s="735">
        <f t="shared" si="4"/>
        <v>27500000</v>
      </c>
      <c r="P34" s="735" t="e">
        <f t="shared" si="4"/>
        <v>#REF!</v>
      </c>
      <c r="Q34" s="739" t="e">
        <f t="shared" si="4"/>
        <v>#REF!</v>
      </c>
      <c r="R34" s="736" t="e">
        <f>SUM(R13:R33)</f>
        <v>#REF!</v>
      </c>
      <c r="S34" s="736">
        <f t="shared" si="4"/>
        <v>0</v>
      </c>
      <c r="T34" s="736">
        <f t="shared" si="4"/>
        <v>174018000</v>
      </c>
      <c r="U34" s="737" t="e">
        <f t="shared" si="4"/>
        <v>#REF!</v>
      </c>
      <c r="V34" s="826" t="s">
        <v>42</v>
      </c>
      <c r="Z34" s="716">
        <f>SUM(Z13:Z23)</f>
        <v>2500000</v>
      </c>
    </row>
    <row r="35" spans="1:16" ht="12" thickBo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22" ht="45.75" thickBot="1">
      <c r="A36" s="685" t="s">
        <v>48</v>
      </c>
      <c r="B36" s="632" t="str">
        <f>B9</f>
        <v>Oleśnica/12</v>
      </c>
      <c r="C36" s="632" t="s">
        <v>15</v>
      </c>
      <c r="D36" s="678" t="s">
        <v>20</v>
      </c>
      <c r="E36" s="678" t="s">
        <v>21</v>
      </c>
      <c r="F36" s="679" t="s">
        <v>22</v>
      </c>
      <c r="G36" s="720" t="s">
        <v>234</v>
      </c>
      <c r="H36" s="603" t="s">
        <v>232</v>
      </c>
      <c r="I36" s="603" t="s">
        <v>233</v>
      </c>
      <c r="J36" s="604" t="s">
        <v>246</v>
      </c>
      <c r="K36" s="604" t="s">
        <v>229</v>
      </c>
      <c r="L36" s="702" t="s">
        <v>253</v>
      </c>
      <c r="M36" s="722" t="s">
        <v>237</v>
      </c>
      <c r="N36" s="765" t="s">
        <v>53</v>
      </c>
      <c r="O36" s="799" t="s">
        <v>242</v>
      </c>
      <c r="P36" s="799" t="s">
        <v>244</v>
      </c>
      <c r="Q36" s="794" t="s">
        <v>95</v>
      </c>
      <c r="R36" s="778" t="s">
        <v>79</v>
      </c>
      <c r="S36" s="683"/>
      <c r="T36" s="682" t="s">
        <v>259</v>
      </c>
      <c r="U36" s="635" t="s">
        <v>97</v>
      </c>
      <c r="V36"/>
    </row>
    <row r="37" spans="1:22" ht="12.75" hidden="1">
      <c r="A37" s="686">
        <v>2020</v>
      </c>
      <c r="B37" s="636">
        <v>20294.43</v>
      </c>
      <c r="C37" s="636">
        <v>33341.9</v>
      </c>
      <c r="D37" s="636">
        <v>213630</v>
      </c>
      <c r="E37" s="636">
        <v>419052.8</v>
      </c>
      <c r="F37" s="637">
        <v>635990.6</v>
      </c>
      <c r="G37" s="638"/>
      <c r="H37" s="639"/>
      <c r="I37" s="199"/>
      <c r="J37" s="640"/>
      <c r="K37" s="695"/>
      <c r="L37" s="770"/>
      <c r="M37" s="775"/>
      <c r="N37" s="766">
        <f>SUM(B37:G37)</f>
        <v>1322309.73</v>
      </c>
      <c r="O37" s="799"/>
      <c r="P37" s="799"/>
      <c r="Q37" s="795"/>
      <c r="R37" s="779"/>
      <c r="S37" s="199"/>
      <c r="T37" s="199"/>
      <c r="U37" s="199"/>
      <c r="V37" s="200"/>
    </row>
    <row r="38" spans="1:22" ht="11.25" hidden="1">
      <c r="A38" s="684">
        <f aca="true" t="shared" si="5" ref="A38:A43">A11</f>
        <v>2021</v>
      </c>
      <c r="B38" s="133"/>
      <c r="C38" s="133">
        <v>27720</v>
      </c>
      <c r="D38" s="133">
        <v>159000</v>
      </c>
      <c r="E38" s="133">
        <v>258637.5</v>
      </c>
      <c r="F38" s="641">
        <v>473237.1</v>
      </c>
      <c r="G38" s="642">
        <v>285682.62</v>
      </c>
      <c r="H38" s="643">
        <v>15214.630136986301</v>
      </c>
      <c r="I38" s="60"/>
      <c r="J38" s="644"/>
      <c r="K38" s="696"/>
      <c r="L38" s="771"/>
      <c r="M38" s="776"/>
      <c r="N38" s="767">
        <f>SUM(B38:G38)</f>
        <v>1204277.22</v>
      </c>
      <c r="O38" s="800"/>
      <c r="P38" s="800"/>
      <c r="Q38" s="796" t="e">
        <f>J38+#REF!+#REF!</f>
        <v>#REF!</v>
      </c>
      <c r="R38" s="401" t="e">
        <f aca="true" t="shared" si="6" ref="R38:R61">N38+Q38</f>
        <v>#REF!</v>
      </c>
      <c r="S38" s="203"/>
      <c r="T38" s="204">
        <v>2050000</v>
      </c>
      <c r="U38" s="205"/>
      <c r="V38" s="58">
        <v>2021</v>
      </c>
    </row>
    <row r="39" spans="1:22" ht="5.25" customHeight="1" hidden="1">
      <c r="A39" s="684">
        <f t="shared" si="5"/>
        <v>2023</v>
      </c>
      <c r="B39" s="133"/>
      <c r="C39" s="136"/>
      <c r="D39" s="787">
        <f>'[2]OBLIGACJE PKO 17'!$F$13</f>
        <v>820000</v>
      </c>
      <c r="E39" s="787">
        <f>'[2]OBLIGACJE PKO 18'!$F$12</f>
        <v>1100000</v>
      </c>
      <c r="F39" s="787">
        <f>'[2]OBLIGACJE PKO 2019'!$F$12</f>
        <v>2167500</v>
      </c>
      <c r="G39" s="787">
        <f>'bgk 15 mln'!N20</f>
        <v>937998.0684931508</v>
      </c>
      <c r="H39" s="787">
        <f>'16 900'!P42</f>
        <v>1294620.355068493</v>
      </c>
      <c r="I39" s="787">
        <f>'2022 3,5 mln'!O57</f>
        <v>181085.48657534248</v>
      </c>
      <c r="J39" s="787">
        <f>'2022 - 18 mln'!N19</f>
        <v>1268921.367671233</v>
      </c>
      <c r="K39" s="788">
        <f>'Kredyt 20 mln na 2023'!N19</f>
        <v>250252.19999999998</v>
      </c>
      <c r="L39" s="772"/>
      <c r="M39" s="763"/>
      <c r="N39" s="767">
        <f>SUM(B39:K39)</f>
        <v>8020377.477808219</v>
      </c>
      <c r="O39" s="800"/>
      <c r="P39" s="800"/>
      <c r="Q39" s="796" t="e">
        <f>L39+#REF!</f>
        <v>#REF!</v>
      </c>
      <c r="R39" s="646" t="e">
        <f t="shared" si="6"/>
        <v>#REF!</v>
      </c>
      <c r="S39" s="203"/>
      <c r="T39" s="204">
        <v>8150000</v>
      </c>
      <c r="U39" s="205" t="e">
        <f>T39-R39</f>
        <v>#REF!</v>
      </c>
      <c r="V39" s="684">
        <v>2023</v>
      </c>
    </row>
    <row r="40" spans="1:22" ht="11.25">
      <c r="A40" s="684">
        <f t="shared" si="5"/>
        <v>2024</v>
      </c>
      <c r="B40" s="133"/>
      <c r="C40" s="133"/>
      <c r="D40" s="645">
        <f>'[4]OBLIGACJE PKO 17'!$F$14</f>
        <v>661646.5753424658</v>
      </c>
      <c r="E40" s="645">
        <f>'[4]OBLIGACJE PKO 18'!$F$13</f>
        <v>762300</v>
      </c>
      <c r="F40" s="645">
        <f>'[4]OBLIGACJE PKO 2019'!$F$13</f>
        <v>1817831.4</v>
      </c>
      <c r="G40" s="830">
        <f>254133.09</f>
        <v>254133.09</v>
      </c>
      <c r="H40" s="645">
        <f>'16 900'!P43</f>
        <v>1121298.442622951</v>
      </c>
      <c r="I40" s="645">
        <f>'2022 3,5 mln'!O58</f>
        <v>124597.9234972678</v>
      </c>
      <c r="J40" s="645">
        <f>'2022 - 18 mln'!N20</f>
        <v>1068494.3150684931</v>
      </c>
      <c r="K40" s="763">
        <f>'Kredyt 20 mln na 2023'!N20</f>
        <v>1284302.7705479453</v>
      </c>
      <c r="L40" s="772">
        <f>'2023-2 mln'!N20</f>
        <v>108104.65753424657</v>
      </c>
      <c r="M40" s="829">
        <f>7245.9+(14038.93*9)</f>
        <v>133596.27</v>
      </c>
      <c r="N40" s="767">
        <f>SUM(B40:M40)</f>
        <v>7336305.444613368</v>
      </c>
      <c r="O40" s="800"/>
      <c r="P40" s="800"/>
      <c r="Q40" s="796">
        <f>O40+P40</f>
        <v>0</v>
      </c>
      <c r="R40" s="401">
        <f t="shared" si="6"/>
        <v>7336305.444613368</v>
      </c>
      <c r="S40" s="203"/>
      <c r="T40" s="204">
        <f>8250000-500000</f>
        <v>7750000</v>
      </c>
      <c r="U40" s="205">
        <f>T40-R40</f>
        <v>413694.55538663175</v>
      </c>
      <c r="V40" s="684">
        <v>2024</v>
      </c>
    </row>
    <row r="41" spans="1:22" ht="11.25">
      <c r="A41" s="684">
        <f t="shared" si="5"/>
        <v>2025</v>
      </c>
      <c r="B41" s="133"/>
      <c r="C41" s="133"/>
      <c r="D41" s="645">
        <f>'[4]OBLIGACJE PKO 17'!$F$15</f>
        <v>492646.5753424658</v>
      </c>
      <c r="E41" s="645">
        <f>'[4]OBLIGACJE PKO 18'!$F$14</f>
        <v>626175</v>
      </c>
      <c r="F41" s="645">
        <f>'[4]OBLIGACJE PKO 2019'!$F$14</f>
        <v>1817831.4</v>
      </c>
      <c r="G41" s="645">
        <f>'bgk 15 mln'!N22</f>
        <v>290206.2</v>
      </c>
      <c r="H41" s="645">
        <f>'16 900'!P44</f>
        <v>1111167.4794520547</v>
      </c>
      <c r="I41" s="645">
        <f>'2022 3,5 mln'!O59</f>
        <v>111089.9726027397</v>
      </c>
      <c r="J41" s="645">
        <f>'2022 - 18 mln'!N21</f>
        <v>1001408.8356164384</v>
      </c>
      <c r="K41" s="763">
        <f>'Kredyt 20 mln na 2023'!N21</f>
        <v>1276375.883561644</v>
      </c>
      <c r="L41" s="772">
        <f>'2023-2 mln'!N21</f>
        <v>41340.82191780822</v>
      </c>
      <c r="M41" s="763">
        <f>'2024-20 mln'!N21</f>
        <v>1302940.8219178081</v>
      </c>
      <c r="N41" s="767">
        <f>SUM(B41:M41)</f>
        <v>8071182.990410959</v>
      </c>
      <c r="O41" s="800">
        <f>'nowy 2024 -27,5mln'!N18</f>
        <v>1586672.2602739725</v>
      </c>
      <c r="P41" s="800"/>
      <c r="Q41" s="796">
        <f aca="true" t="shared" si="7" ref="Q41:Q61">O41+P41</f>
        <v>1586672.2602739725</v>
      </c>
      <c r="R41" s="401">
        <f t="shared" si="6"/>
        <v>9657855.250684932</v>
      </c>
      <c r="S41" s="203"/>
      <c r="T41" s="204">
        <f>10017000-200000</f>
        <v>9817000</v>
      </c>
      <c r="U41" s="205">
        <f>T41-R41</f>
        <v>159144.74931506813</v>
      </c>
      <c r="V41" s="684">
        <v>2025</v>
      </c>
    </row>
    <row r="42" spans="1:22" ht="11.25">
      <c r="A42" s="684">
        <f t="shared" si="5"/>
        <v>2026</v>
      </c>
      <c r="B42" s="133"/>
      <c r="C42" s="133"/>
      <c r="D42" s="645">
        <f>'[4]OBLIGACJE PKO 17'!$F$16</f>
        <v>323646.5753424658</v>
      </c>
      <c r="E42" s="645">
        <f>'[4]OBLIGACJE PKO 18'!$F$15</f>
        <v>490050</v>
      </c>
      <c r="F42" s="645">
        <f>'[4]OBLIGACJE PKO 2019'!$F$15</f>
        <v>1817831.4</v>
      </c>
      <c r="G42" s="645">
        <f>'bgk 15 mln'!N23</f>
        <v>290206.2</v>
      </c>
      <c r="H42" s="645">
        <f>'16 900'!P45</f>
        <v>1098499.97260274</v>
      </c>
      <c r="I42" s="645">
        <f>'2022 3,5 mln'!O60</f>
        <v>97609.97260273974</v>
      </c>
      <c r="J42" s="645">
        <f>'2022 - 18 mln'!N22</f>
        <v>937308.8356164384</v>
      </c>
      <c r="K42" s="763">
        <f>'Kredyt 20 mln na 2023'!N22</f>
        <v>1236098.2534246575</v>
      </c>
      <c r="L42" s="772">
        <f>'2023-2 mln'!N22</f>
        <v>0</v>
      </c>
      <c r="M42" s="763">
        <f>'2024-20 mln'!N22</f>
        <v>1236540.8219178081</v>
      </c>
      <c r="N42" s="767">
        <f>SUM(B42:M42)</f>
        <v>7527792.031506849</v>
      </c>
      <c r="O42" s="800">
        <f>'nowy 2024 -27,5mln'!N19</f>
        <v>1528172.2602739725</v>
      </c>
      <c r="P42" s="800">
        <f>'nowy 2025 - 15 mln'!N18</f>
        <v>855422.2602739725</v>
      </c>
      <c r="Q42" s="796">
        <f t="shared" si="7"/>
        <v>2383594.520547945</v>
      </c>
      <c r="R42" s="401">
        <f t="shared" si="6"/>
        <v>9911386.552054795</v>
      </c>
      <c r="S42" s="203"/>
      <c r="T42" s="204">
        <v>10330000</v>
      </c>
      <c r="U42" s="205">
        <f>T42-R42</f>
        <v>418613.4479452055</v>
      </c>
      <c r="V42" s="684">
        <v>2026</v>
      </c>
    </row>
    <row r="43" spans="1:22" ht="11.25">
      <c r="A43" s="684">
        <f t="shared" si="5"/>
        <v>2027</v>
      </c>
      <c r="B43" s="133"/>
      <c r="C43" s="133"/>
      <c r="D43" s="645">
        <f>'[4]OBLIGACJE PKO 17'!$F$17</f>
        <v>154646.57534246577</v>
      </c>
      <c r="E43" s="645">
        <f>'[4]OBLIGACJE PKO 18'!$F$16</f>
        <v>344850</v>
      </c>
      <c r="F43" s="645">
        <f>'[4]OBLIGACJE PKO 2019'!$F$16</f>
        <v>1681706.4</v>
      </c>
      <c r="G43" s="645">
        <f>'bgk 15 mln'!N24</f>
        <v>290206.2</v>
      </c>
      <c r="H43" s="645">
        <f>'16 900'!P46</f>
        <v>1085019.9726027397</v>
      </c>
      <c r="I43" s="645">
        <f>'2022 3,5 mln'!O61</f>
        <v>84129.97260273974</v>
      </c>
      <c r="J43" s="645">
        <f>'2022 - 18 mln'!N23</f>
        <v>873208.8356164384</v>
      </c>
      <c r="K43" s="763">
        <f>'Kredyt 20 mln na 2023'!N23</f>
        <v>1152043.8356164382</v>
      </c>
      <c r="L43" s="772">
        <f>'2023-2 mln'!N23</f>
        <v>0</v>
      </c>
      <c r="M43" s="763">
        <f>'2024-20 mln'!N23</f>
        <v>1170140.8219178081</v>
      </c>
      <c r="N43" s="767">
        <f aca="true" t="shared" si="8" ref="N43:N55">SUM(B43:M43)</f>
        <v>6835952.61369863</v>
      </c>
      <c r="O43" s="800">
        <f>'nowy 2024 -27,5mln'!N20</f>
        <v>1458633.3904109588</v>
      </c>
      <c r="P43" s="800">
        <f>'nowy 2025 - 15 mln'!N19</f>
        <v>796922.2602739725</v>
      </c>
      <c r="Q43" s="796">
        <f t="shared" si="7"/>
        <v>2255555.6506849313</v>
      </c>
      <c r="R43" s="401">
        <f t="shared" si="6"/>
        <v>9091508.264383562</v>
      </c>
      <c r="S43" s="203"/>
      <c r="T43" s="204">
        <v>9403000</v>
      </c>
      <c r="U43" s="205">
        <f aca="true" t="shared" si="9" ref="U43:U61">T43-R43</f>
        <v>311491.7356164381</v>
      </c>
      <c r="V43" s="684">
        <v>2027</v>
      </c>
    </row>
    <row r="44" spans="1:22" ht="11.25">
      <c r="A44" s="684">
        <v>2028</v>
      </c>
      <c r="B44" s="133"/>
      <c r="C44" s="133"/>
      <c r="D44" s="645"/>
      <c r="E44" s="645">
        <f>'[4]OBLIGACJE PKO 18'!$F$17</f>
        <v>199650</v>
      </c>
      <c r="F44" s="645">
        <f>'[4]OBLIGACJE PKO 2019'!$F$17</f>
        <v>1311446.4</v>
      </c>
      <c r="G44" s="645">
        <f>'bgk 15 mln'!N25</f>
        <v>276792.278630137</v>
      </c>
      <c r="H44" s="645">
        <f>'16 900'!P47</f>
        <v>1066831.2054794522</v>
      </c>
      <c r="I44" s="645">
        <f>'2022 3,5 mln'!O62</f>
        <v>70871.56164383562</v>
      </c>
      <c r="J44" s="645">
        <f>'2022 - 18 mln'!N24</f>
        <v>811391.8493150685</v>
      </c>
      <c r="K44" s="763">
        <f>'Kredyt 20 mln na 2023'!N24</f>
        <v>1112762.8287671232</v>
      </c>
      <c r="L44" s="772">
        <f>'2023-2 mln'!N24</f>
        <v>0</v>
      </c>
      <c r="M44" s="763">
        <f>'2024-20 mln'!N24</f>
        <v>1103809.2896174863</v>
      </c>
      <c r="N44" s="767">
        <f t="shared" si="8"/>
        <v>5953555.413453102</v>
      </c>
      <c r="O44" s="800">
        <f>'nowy 2024 -27,5mln'!N21</f>
        <v>1370973.8729508198</v>
      </c>
      <c r="P44" s="800">
        <f>'nowy 2025 - 15 mln'!N20</f>
        <v>738482.5819672131</v>
      </c>
      <c r="Q44" s="796">
        <f t="shared" si="7"/>
        <v>2109456.454918033</v>
      </c>
      <c r="R44" s="401">
        <f t="shared" si="6"/>
        <v>8063011.868371135</v>
      </c>
      <c r="S44" s="203"/>
      <c r="T44" s="204">
        <v>8326000</v>
      </c>
      <c r="U44" s="205">
        <f t="shared" si="9"/>
        <v>262988.1316288654</v>
      </c>
      <c r="V44" s="684">
        <v>2028</v>
      </c>
    </row>
    <row r="45" spans="1:22" ht="11.25">
      <c r="A45" s="684">
        <v>2029</v>
      </c>
      <c r="B45" s="133"/>
      <c r="C45" s="133"/>
      <c r="D45" s="645"/>
      <c r="E45" s="645">
        <f>'[4]OBLIGACJE PKO 18'!$F$18</f>
        <v>99825</v>
      </c>
      <c r="F45" s="645">
        <f>'[4]OBLIGACJE PKO 2019'!$F$18</f>
        <v>941186.4</v>
      </c>
      <c r="G45" s="645">
        <f>'bgk 15 mln'!N26</f>
        <v>238347.19315068494</v>
      </c>
      <c r="H45" s="645">
        <f>'16 900'!P48</f>
        <v>1032466.4383561644</v>
      </c>
      <c r="I45" s="645">
        <f>'2022 3,5 mln'!O63</f>
        <v>57169.97260273971</v>
      </c>
      <c r="J45" s="645">
        <f>'2022 - 18 mln'!N25</f>
        <v>745008.8356164383</v>
      </c>
      <c r="K45" s="763">
        <f>'Kredyt 20 mln na 2023'!N25</f>
        <v>1103305.8835616438</v>
      </c>
      <c r="L45" s="772">
        <f>'2023-2 mln'!N25</f>
        <v>0</v>
      </c>
      <c r="M45" s="763">
        <f>'2024-20 mln'!N25</f>
        <v>1037340.8219178083</v>
      </c>
      <c r="N45" s="767">
        <f t="shared" si="8"/>
        <v>5254650.54520548</v>
      </c>
      <c r="O45" s="800">
        <f>'nowy 2024 -27,5mln'!N22</f>
        <v>1283133.3904109588</v>
      </c>
      <c r="P45" s="800">
        <f>'nowy 2025 - 15 mln'!N21</f>
        <v>679922.2602739726</v>
      </c>
      <c r="Q45" s="796">
        <f t="shared" si="7"/>
        <v>1963055.6506849313</v>
      </c>
      <c r="R45" s="401">
        <f t="shared" si="6"/>
        <v>7217706.195890412</v>
      </c>
      <c r="S45" s="203"/>
      <c r="T45" s="204">
        <v>7478000</v>
      </c>
      <c r="U45" s="205">
        <f t="shared" si="9"/>
        <v>260293.80410958827</v>
      </c>
      <c r="V45" s="684">
        <v>2029</v>
      </c>
    </row>
    <row r="46" spans="1:22" ht="11.25">
      <c r="A46" s="684">
        <v>2030</v>
      </c>
      <c r="B46" s="133"/>
      <c r="C46" s="133"/>
      <c r="D46" s="645"/>
      <c r="E46" s="645">
        <f>'[4]OBLIGACJE PKO 18'!$F$19</f>
        <v>90717.602739726</v>
      </c>
      <c r="F46" s="645">
        <f>'[4]OBLIGACJE PKO 2019'!$F$19</f>
        <v>554736.6</v>
      </c>
      <c r="G46" s="645">
        <f>'bgk 15 mln'!N27</f>
        <v>200697.19315068494</v>
      </c>
      <c r="H46" s="645">
        <f>'16 900'!P49</f>
        <v>965066.4383561644</v>
      </c>
      <c r="I46" s="645">
        <f>'2022 3,5 mln'!O64</f>
        <v>43689.97260273973</v>
      </c>
      <c r="J46" s="645">
        <f>'2022 - 18 mln'!N26</f>
        <v>680908.8356164384</v>
      </c>
      <c r="K46" s="763">
        <f>'Kredyt 20 mln na 2023'!N26</f>
        <v>1096895.8835616438</v>
      </c>
      <c r="L46" s="772">
        <f>'2023-2 mln'!N26</f>
        <v>0</v>
      </c>
      <c r="M46" s="763">
        <f>'2024-20 mln'!N26</f>
        <v>970940.8219178083</v>
      </c>
      <c r="N46" s="767">
        <f t="shared" si="8"/>
        <v>4603653.347945206</v>
      </c>
      <c r="O46" s="800">
        <f>'nowy 2024 -27,5mln'!N23</f>
        <v>1195383.390410959</v>
      </c>
      <c r="P46" s="800">
        <f>'nowy 2025 - 15 mln'!N22</f>
        <v>621422.2602739726</v>
      </c>
      <c r="Q46" s="796">
        <f t="shared" si="7"/>
        <v>1816805.6506849318</v>
      </c>
      <c r="R46" s="401">
        <f t="shared" si="6"/>
        <v>6420458.998630138</v>
      </c>
      <c r="S46" s="203"/>
      <c r="T46" s="204">
        <v>6614000</v>
      </c>
      <c r="U46" s="205">
        <f t="shared" si="9"/>
        <v>193541.0013698619</v>
      </c>
      <c r="V46" s="684">
        <v>2030</v>
      </c>
    </row>
    <row r="47" spans="1:22" ht="11.25">
      <c r="A47" s="684">
        <v>2031</v>
      </c>
      <c r="B47" s="133"/>
      <c r="C47" s="133"/>
      <c r="D47" s="645"/>
      <c r="E47" s="645"/>
      <c r="F47" s="645">
        <f>'[4]OBLIGACJE PKO 2019'!$F$20</f>
        <v>140916.6</v>
      </c>
      <c r="G47" s="645">
        <f>'bgk 15 mln'!N28</f>
        <v>158727.65506849316</v>
      </c>
      <c r="H47" s="645">
        <f>'16 900'!P50</f>
        <v>897666.4383561645</v>
      </c>
      <c r="I47" s="645">
        <f>'2022 3,5 mln'!O65</f>
        <v>30209.97260273972</v>
      </c>
      <c r="J47" s="645">
        <f>'2022 - 18 mln'!N27</f>
        <v>616808.8356164384</v>
      </c>
      <c r="K47" s="763">
        <f>'Kredyt 20 mln na 2023'!N27</f>
        <v>1090485.8835616438</v>
      </c>
      <c r="L47" s="772">
        <f>'2023-2 mln'!N27</f>
        <v>0</v>
      </c>
      <c r="M47" s="763">
        <f>'2024-20 mln'!N27</f>
        <v>904540.8219178083</v>
      </c>
      <c r="N47" s="767">
        <f t="shared" si="8"/>
        <v>3839356.2071232875</v>
      </c>
      <c r="O47" s="800">
        <f>'nowy 2024 -27,5mln'!N24</f>
        <v>1107633.3904109588</v>
      </c>
      <c r="P47" s="800">
        <f>'nowy 2025 - 15 mln'!N23</f>
        <v>562922.2602739726</v>
      </c>
      <c r="Q47" s="796">
        <f t="shared" si="7"/>
        <v>1670555.6506849313</v>
      </c>
      <c r="R47" s="401">
        <f t="shared" si="6"/>
        <v>5509911.857808219</v>
      </c>
      <c r="S47" s="203"/>
      <c r="T47" s="204">
        <v>5815000</v>
      </c>
      <c r="U47" s="205">
        <f t="shared" si="9"/>
        <v>305088.14219178073</v>
      </c>
      <c r="V47" s="684">
        <v>2031</v>
      </c>
    </row>
    <row r="48" spans="1:22" ht="11.25">
      <c r="A48" s="684">
        <v>2032</v>
      </c>
      <c r="B48" s="133"/>
      <c r="C48" s="133"/>
      <c r="D48" s="645"/>
      <c r="E48" s="645"/>
      <c r="F48" s="645">
        <f>'[4]OBLIGACJE PKO 2019'!$F$21</f>
        <v>92779.8</v>
      </c>
      <c r="G48" s="645">
        <f>'bgk 15 mln'!N29</f>
        <v>117448.81397260277</v>
      </c>
      <c r="H48" s="645">
        <f>'16 900'!P51</f>
        <v>806898.0273972601</v>
      </c>
      <c r="I48" s="645">
        <f>'2022 3,5 mln'!O66</f>
        <v>16803.835616438355</v>
      </c>
      <c r="J48" s="645">
        <f>'2022 - 18 mln'!N28</f>
        <v>554289.3835616438</v>
      </c>
      <c r="K48" s="763">
        <f>'Kredyt 20 mln na 2023'!N28</f>
        <v>1077376.1164383562</v>
      </c>
      <c r="L48" s="772">
        <f>'2023-2 mln'!N28</f>
        <v>0</v>
      </c>
      <c r="M48" s="763">
        <f>'2024-20 mln'!N28</f>
        <v>838209.2896174864</v>
      </c>
      <c r="N48" s="767">
        <f t="shared" si="8"/>
        <v>3503805.2666037874</v>
      </c>
      <c r="O48" s="800">
        <f>'nowy 2024 -27,5mln'!N25</f>
        <v>1030982.5819672131</v>
      </c>
      <c r="P48" s="800">
        <f>'nowy 2025 - 15 mln'!N24</f>
        <v>504482.58196721313</v>
      </c>
      <c r="Q48" s="796">
        <f t="shared" si="7"/>
        <v>1535465.1639344261</v>
      </c>
      <c r="R48" s="401">
        <f t="shared" si="6"/>
        <v>5039270.430538214</v>
      </c>
      <c r="S48" s="203"/>
      <c r="T48" s="204">
        <v>5245000</v>
      </c>
      <c r="U48" s="205">
        <f t="shared" si="9"/>
        <v>205729.5694617862</v>
      </c>
      <c r="V48" s="684">
        <v>2032</v>
      </c>
    </row>
    <row r="49" spans="1:22" ht="11.25">
      <c r="A49" s="684">
        <v>2033</v>
      </c>
      <c r="B49" s="133"/>
      <c r="C49" s="133"/>
      <c r="D49" s="645"/>
      <c r="E49" s="645"/>
      <c r="F49" s="645"/>
      <c r="G49" s="645">
        <f>'bgk 15 mln'!N30</f>
        <v>102414.1890410959</v>
      </c>
      <c r="H49" s="645">
        <f>'16 900'!P52</f>
        <v>669752.8767123288</v>
      </c>
      <c r="I49" s="645"/>
      <c r="J49" s="645">
        <f>'2022 - 18 mln'!N29</f>
        <v>488608.83561643836</v>
      </c>
      <c r="K49" s="763">
        <f>'Kredyt 20 mln na 2023'!N29</f>
        <v>1020577.3698630137</v>
      </c>
      <c r="L49" s="772">
        <f>'2023-2 mln'!N29</f>
        <v>0</v>
      </c>
      <c r="M49" s="763">
        <f>'2024-20 mln'!N29</f>
        <v>771740.8219178081</v>
      </c>
      <c r="N49" s="767">
        <f t="shared" si="8"/>
        <v>3053094.093150685</v>
      </c>
      <c r="O49" s="800">
        <f>'nowy 2024 -27,5mln'!N26</f>
        <v>972422.2602739726</v>
      </c>
      <c r="P49" s="800">
        <f>'nowy 2025 - 15 mln'!N25</f>
        <v>445922.2602739726</v>
      </c>
      <c r="Q49" s="796">
        <f t="shared" si="7"/>
        <v>1418344.5205479453</v>
      </c>
      <c r="R49" s="401">
        <f t="shared" si="6"/>
        <v>4471438.613698631</v>
      </c>
      <c r="S49" s="203"/>
      <c r="T49" s="204">
        <v>4736000</v>
      </c>
      <c r="U49" s="205">
        <f t="shared" si="9"/>
        <v>264561.3863013694</v>
      </c>
      <c r="V49" s="684">
        <v>2033</v>
      </c>
    </row>
    <row r="50" spans="1:22" ht="11.25">
      <c r="A50" s="684">
        <v>2034</v>
      </c>
      <c r="B50" s="133"/>
      <c r="C50" s="133"/>
      <c r="D50" s="645"/>
      <c r="E50" s="645"/>
      <c r="F50" s="645"/>
      <c r="G50" s="645">
        <f>'bgk 15 mln'!N31</f>
        <v>87730.68904109589</v>
      </c>
      <c r="H50" s="645">
        <f>'16 900'!P53</f>
        <v>534952.8767123288</v>
      </c>
      <c r="I50" s="645"/>
      <c r="J50" s="645">
        <f>'2022 - 18 mln'!N30</f>
        <v>424508.83561643836</v>
      </c>
      <c r="K50" s="763">
        <f>'Kredyt 20 mln na 2023'!N30</f>
        <v>930837.3698630137</v>
      </c>
      <c r="L50" s="772">
        <f>'2023-2 mln'!N30</f>
        <v>0</v>
      </c>
      <c r="M50" s="763">
        <f>'2024-20 mln'!N30</f>
        <v>705340.8219178081</v>
      </c>
      <c r="N50" s="767">
        <f t="shared" si="8"/>
        <v>2683370.5931506846</v>
      </c>
      <c r="O50" s="800">
        <f>'nowy 2024 -27,5mln'!N27</f>
        <v>913922.2602739725</v>
      </c>
      <c r="P50" s="800">
        <f>'nowy 2025 - 15 mln'!N26</f>
        <v>387422.26027397264</v>
      </c>
      <c r="Q50" s="796">
        <f t="shared" si="7"/>
        <v>1301344.520547945</v>
      </c>
      <c r="R50" s="401">
        <f t="shared" si="6"/>
        <v>3984715.1136986297</v>
      </c>
      <c r="S50" s="203"/>
      <c r="T50" s="204">
        <v>4217000</v>
      </c>
      <c r="U50" s="205">
        <f t="shared" si="9"/>
        <v>232284.88630137034</v>
      </c>
      <c r="V50" s="684">
        <v>2034</v>
      </c>
    </row>
    <row r="51" spans="1:22" ht="11.25">
      <c r="A51" s="684">
        <v>2035</v>
      </c>
      <c r="B51" s="133"/>
      <c r="C51" s="133"/>
      <c r="D51" s="645"/>
      <c r="E51" s="645"/>
      <c r="F51" s="645"/>
      <c r="G51" s="645">
        <f>'bgk 15 mln'!N32</f>
        <v>73047.18904109589</v>
      </c>
      <c r="H51" s="645">
        <f>'16 900'!P54</f>
        <v>425866.4383561643</v>
      </c>
      <c r="I51" s="645"/>
      <c r="J51" s="645">
        <f>'2022 - 18 mln'!N31</f>
        <v>360408.8356164384</v>
      </c>
      <c r="K51" s="763">
        <f>'Kredyt 20 mln na 2023'!N31</f>
        <v>850773.8356164384</v>
      </c>
      <c r="L51" s="772">
        <f>'2023-2 mln'!N31</f>
        <v>0</v>
      </c>
      <c r="M51" s="763">
        <f>'2024-20 mln'!N31</f>
        <v>638940.8219178081</v>
      </c>
      <c r="N51" s="767">
        <f t="shared" si="8"/>
        <v>2349037.120547945</v>
      </c>
      <c r="O51" s="800">
        <f>'nowy 2024 -27,5mln'!N28</f>
        <v>855422.2602739725</v>
      </c>
      <c r="P51" s="800">
        <f>'nowy 2025 - 15 mln'!N27</f>
        <v>328922.2602739726</v>
      </c>
      <c r="Q51" s="796">
        <f t="shared" si="7"/>
        <v>1184344.520547945</v>
      </c>
      <c r="R51" s="401">
        <f t="shared" si="6"/>
        <v>3533381.64109589</v>
      </c>
      <c r="S51" s="203"/>
      <c r="T51" s="204">
        <v>3732000</v>
      </c>
      <c r="U51" s="205">
        <f t="shared" si="9"/>
        <v>198618.3589041098</v>
      </c>
      <c r="V51" s="684">
        <v>2035</v>
      </c>
    </row>
    <row r="52" spans="1:22" ht="11.25">
      <c r="A52" s="684">
        <v>2036</v>
      </c>
      <c r="B52" s="133"/>
      <c r="C52" s="133"/>
      <c r="D52" s="645"/>
      <c r="E52" s="645"/>
      <c r="F52" s="645"/>
      <c r="G52" s="645">
        <f>'bgk 15 mln'!N33</f>
        <v>58553.89890410959</v>
      </c>
      <c r="H52" s="645">
        <f>'16 900'!P55</f>
        <v>359518.9863013698</v>
      </c>
      <c r="I52" s="645"/>
      <c r="J52" s="645">
        <f>'2022 - 18 mln'!N32</f>
        <v>297186.9178082192</v>
      </c>
      <c r="K52" s="763">
        <f>'Kredyt 20 mln na 2023'!N32</f>
        <v>785266.7089041095</v>
      </c>
      <c r="L52" s="772">
        <f>'2023-2 mln'!N32</f>
        <v>0</v>
      </c>
      <c r="M52" s="763">
        <f>'2024-20 mln'!N32</f>
        <v>572609.2896174863</v>
      </c>
      <c r="N52" s="767">
        <f t="shared" si="8"/>
        <v>2073135.8015352944</v>
      </c>
      <c r="O52" s="800">
        <f>'nowy 2024 -27,5mln'!N29</f>
        <v>796982.5819672132</v>
      </c>
      <c r="P52" s="800">
        <f>'nowy 2025 - 15 mln'!N28</f>
        <v>270482.58196721313</v>
      </c>
      <c r="Q52" s="796">
        <f t="shared" si="7"/>
        <v>1067465.1639344264</v>
      </c>
      <c r="R52" s="401">
        <f t="shared" si="6"/>
        <v>3140600.965469721</v>
      </c>
      <c r="S52" s="203"/>
      <c r="T52" s="204">
        <v>3304000</v>
      </c>
      <c r="U52" s="205">
        <f t="shared" si="9"/>
        <v>163399.03453027923</v>
      </c>
      <c r="V52" s="684">
        <v>2036</v>
      </c>
    </row>
    <row r="53" spans="1:22" ht="11.25">
      <c r="A53" s="684">
        <v>2037</v>
      </c>
      <c r="B53" s="133"/>
      <c r="C53" s="133"/>
      <c r="D53" s="645"/>
      <c r="E53" s="645"/>
      <c r="F53" s="645"/>
      <c r="G53" s="645">
        <f>'bgk 15 mln'!N34</f>
        <v>39425.22328767123</v>
      </c>
      <c r="H53" s="645">
        <f>'16 900'!P56</f>
        <v>291066.43835616444</v>
      </c>
      <c r="I53" s="645"/>
      <c r="J53" s="645">
        <f>'2022 - 18 mln'!N33</f>
        <v>232208.83561643836</v>
      </c>
      <c r="K53" s="763">
        <f>'Kredyt 20 mln na 2023'!N33</f>
        <v>664576.5068493151</v>
      </c>
      <c r="L53" s="772">
        <f>'2023-2 mln'!N33</f>
        <v>0</v>
      </c>
      <c r="M53" s="763">
        <f>'2024-20 mln'!N33</f>
        <v>506140.82191780827</v>
      </c>
      <c r="N53" s="767">
        <f t="shared" si="8"/>
        <v>1733417.8260273975</v>
      </c>
      <c r="O53" s="800">
        <f>'nowy 2024 -27,5mln'!N30</f>
        <v>738422.2602739726</v>
      </c>
      <c r="P53" s="800">
        <f>'nowy 2025 - 15 mln'!N29</f>
        <v>211922.2602739726</v>
      </c>
      <c r="Q53" s="796">
        <f t="shared" si="7"/>
        <v>950344.5205479453</v>
      </c>
      <c r="R53" s="401">
        <f t="shared" si="6"/>
        <v>2683762.346575343</v>
      </c>
      <c r="S53" s="203"/>
      <c r="T53" s="204">
        <v>2814000</v>
      </c>
      <c r="U53" s="205">
        <f t="shared" si="9"/>
        <v>130237.65342465695</v>
      </c>
      <c r="V53" s="684">
        <v>2037</v>
      </c>
    </row>
    <row r="54" spans="1:22" ht="11.25">
      <c r="A54" s="684">
        <v>2038</v>
      </c>
      <c r="B54" s="133"/>
      <c r="C54" s="133"/>
      <c r="D54" s="645"/>
      <c r="E54" s="645"/>
      <c r="F54" s="645"/>
      <c r="G54" s="645">
        <f>'bgk 15 mln'!N35</f>
        <v>19094.223287671233</v>
      </c>
      <c r="H54" s="645">
        <f>'16 900'!P57</f>
        <v>223666.43835616435</v>
      </c>
      <c r="I54" s="645"/>
      <c r="J54" s="645">
        <f>'2022 - 18 mln'!N34</f>
        <v>168108.83561643836</v>
      </c>
      <c r="K54" s="763">
        <f>'Kredyt 20 mln na 2023'!N34</f>
        <v>496467.6712328767</v>
      </c>
      <c r="L54" s="772">
        <f>'2023-2 mln'!N34</f>
        <v>0</v>
      </c>
      <c r="M54" s="763">
        <f>'2024-20 mln'!N34</f>
        <v>439740.82191780827</v>
      </c>
      <c r="N54" s="767">
        <f t="shared" si="8"/>
        <v>1347077.9904109589</v>
      </c>
      <c r="O54" s="800">
        <f>'nowy 2024 -27,5mln'!N31</f>
        <v>679922.2602739726</v>
      </c>
      <c r="P54" s="800">
        <f>'nowy 2025 - 15 mln'!N30</f>
        <v>153422.2602739726</v>
      </c>
      <c r="Q54" s="796">
        <f t="shared" si="7"/>
        <v>833344.5205479453</v>
      </c>
      <c r="R54" s="401">
        <f t="shared" si="6"/>
        <v>2180422.5109589044</v>
      </c>
      <c r="S54" s="203"/>
      <c r="T54" s="204">
        <v>2279000</v>
      </c>
      <c r="U54" s="205">
        <f t="shared" si="9"/>
        <v>98577.4890410956</v>
      </c>
      <c r="V54" s="684">
        <v>2038</v>
      </c>
    </row>
    <row r="55" spans="1:22" ht="11.25">
      <c r="A55" s="684">
        <v>2039</v>
      </c>
      <c r="B55" s="133"/>
      <c r="C55" s="133"/>
      <c r="D55" s="645"/>
      <c r="E55" s="645"/>
      <c r="F55" s="645"/>
      <c r="G55" s="645">
        <f>'bgk 15 mln'!N36</f>
        <v>10109.798630136987</v>
      </c>
      <c r="H55" s="645">
        <f>'16 900'!P58</f>
        <v>156266.43835616438</v>
      </c>
      <c r="I55" s="645"/>
      <c r="J55" s="645">
        <f>'2022 - 18 mln'!N35</f>
        <v>104008.83561643836</v>
      </c>
      <c r="K55" s="763">
        <f>'Kredyt 20 mln na 2023'!N35</f>
        <v>368267.6712328768</v>
      </c>
      <c r="L55" s="772">
        <f>'2023-2 mln'!N35</f>
        <v>0</v>
      </c>
      <c r="M55" s="763">
        <f>'2024-20 mln'!N35</f>
        <v>373340.82191780815</v>
      </c>
      <c r="N55" s="767">
        <f t="shared" si="8"/>
        <v>1011993.5657534247</v>
      </c>
      <c r="O55" s="800">
        <f>'nowy 2024 -27,5mln'!N32</f>
        <v>621422.2602739726</v>
      </c>
      <c r="P55" s="800">
        <f>'nowy 2025 - 15 mln'!N31</f>
        <v>94922.26027397261</v>
      </c>
      <c r="Q55" s="796">
        <f t="shared" si="7"/>
        <v>716344.5205479453</v>
      </c>
      <c r="R55" s="401">
        <f t="shared" si="6"/>
        <v>1728338.08630137</v>
      </c>
      <c r="S55" s="203"/>
      <c r="T55" s="204">
        <v>1793000</v>
      </c>
      <c r="U55" s="205">
        <f t="shared" si="9"/>
        <v>64661.91369862994</v>
      </c>
      <c r="V55" s="684">
        <v>2039</v>
      </c>
    </row>
    <row r="56" spans="1:22" ht="11.25">
      <c r="A56" s="684">
        <v>2040</v>
      </c>
      <c r="B56" s="133"/>
      <c r="C56" s="133"/>
      <c r="D56" s="645"/>
      <c r="E56" s="645"/>
      <c r="F56" s="645"/>
      <c r="G56" s="645">
        <f>'bgk 15 mln'!N37</f>
        <v>4862.9358904109595</v>
      </c>
      <c r="H56" s="645">
        <f>'16 900'!P59</f>
        <v>89180.35616438354</v>
      </c>
      <c r="I56" s="645"/>
      <c r="J56" s="645">
        <f>'2022 - 18 mln'!N36</f>
        <v>40084.45205479452</v>
      </c>
      <c r="K56" s="763">
        <f>'Kredyt 20 mln na 2023'!N36</f>
        <v>240857.94520547945</v>
      </c>
      <c r="L56" s="772">
        <f>'2023-2 mln'!N36</f>
        <v>0</v>
      </c>
      <c r="M56" s="763">
        <f>'2024-20 mln'!N36</f>
        <v>307009.28961748636</v>
      </c>
      <c r="N56" s="767"/>
      <c r="O56" s="800">
        <f>'nowy 2024 -27,5mln'!N33</f>
        <v>562982.5819672131</v>
      </c>
      <c r="P56" s="800">
        <f>'nowy 2025 - 15 mln'!N32</f>
        <v>36482.58196721312</v>
      </c>
      <c r="Q56" s="796">
        <f t="shared" si="7"/>
        <v>599465.1639344261</v>
      </c>
      <c r="R56" s="401">
        <f t="shared" si="6"/>
        <v>599465.1639344261</v>
      </c>
      <c r="S56" s="203"/>
      <c r="T56" s="204">
        <v>1325000</v>
      </c>
      <c r="U56" s="205">
        <f t="shared" si="9"/>
        <v>725534.8360655739</v>
      </c>
      <c r="V56" s="684">
        <v>2040</v>
      </c>
    </row>
    <row r="57" spans="1:22" ht="11.25">
      <c r="A57" s="684">
        <v>2041</v>
      </c>
      <c r="B57" s="133"/>
      <c r="C57" s="133"/>
      <c r="D57" s="645"/>
      <c r="E57" s="645"/>
      <c r="F57" s="645"/>
      <c r="G57" s="645">
        <f>'bgk 15 mln'!N38</f>
        <v>872.654794520548</v>
      </c>
      <c r="H57" s="645">
        <f>'16 900'!P60</f>
        <v>22417.424657534248</v>
      </c>
      <c r="I57" s="645"/>
      <c r="J57" s="645">
        <f>'2022 - 18 mln'!N37</f>
        <v>0</v>
      </c>
      <c r="K57" s="763">
        <f>'Kredyt 20 mln na 2023'!N37</f>
        <v>99772.0890410959</v>
      </c>
      <c r="L57" s="772">
        <f>'2023-2 mln'!N37</f>
        <v>0</v>
      </c>
      <c r="M57" s="763">
        <f>'2024-20 mln'!N37</f>
        <v>240540.82191780824</v>
      </c>
      <c r="N57" s="767"/>
      <c r="O57" s="800">
        <f>'nowy 2024 -27,5mln'!N34</f>
        <v>504422.2602739726</v>
      </c>
      <c r="P57" s="800" t="e">
        <f>'nowy 2025 - 15 mln'!#REF!</f>
        <v>#REF!</v>
      </c>
      <c r="Q57" s="796" t="e">
        <f t="shared" si="7"/>
        <v>#REF!</v>
      </c>
      <c r="R57" s="401" t="e">
        <f t="shared" si="6"/>
        <v>#REF!</v>
      </c>
      <c r="S57" s="203"/>
      <c r="T57" s="204">
        <v>912000</v>
      </c>
      <c r="U57" s="205" t="e">
        <f t="shared" si="9"/>
        <v>#REF!</v>
      </c>
      <c r="V57" s="684">
        <v>2041</v>
      </c>
    </row>
    <row r="58" spans="1:22" ht="11.25">
      <c r="A58" s="684">
        <v>2042</v>
      </c>
      <c r="B58" s="133"/>
      <c r="C58" s="133"/>
      <c r="D58" s="645"/>
      <c r="E58" s="645"/>
      <c r="F58" s="645"/>
      <c r="G58" s="645"/>
      <c r="H58" s="645"/>
      <c r="I58" s="645"/>
      <c r="J58" s="645"/>
      <c r="K58" s="763"/>
      <c r="L58" s="772">
        <f>'2023-2 mln'!N38</f>
        <v>0</v>
      </c>
      <c r="M58" s="763">
        <f>'2024-20 mln'!N38</f>
        <v>172867.39726027398</v>
      </c>
      <c r="N58" s="767"/>
      <c r="O58" s="800">
        <f>'nowy 2024 -27,5mln'!N35</f>
        <v>445922.2602739726</v>
      </c>
      <c r="P58" s="800" t="e">
        <f>'nowy 2025 - 15 mln'!#REF!</f>
        <v>#REF!</v>
      </c>
      <c r="Q58" s="796" t="e">
        <f t="shared" si="7"/>
        <v>#REF!</v>
      </c>
      <c r="R58" s="647" t="e">
        <f t="shared" si="6"/>
        <v>#REF!</v>
      </c>
      <c r="S58" s="203"/>
      <c r="T58" s="204">
        <v>661000</v>
      </c>
      <c r="U58" s="205" t="e">
        <f t="shared" si="9"/>
        <v>#REF!</v>
      </c>
      <c r="V58" s="684">
        <v>2042</v>
      </c>
    </row>
    <row r="59" spans="1:22" ht="11.25">
      <c r="A59" s="684">
        <v>2043</v>
      </c>
      <c r="B59" s="133"/>
      <c r="C59" s="133"/>
      <c r="D59" s="645"/>
      <c r="E59" s="645"/>
      <c r="F59" s="645"/>
      <c r="G59" s="645"/>
      <c r="H59" s="645"/>
      <c r="I59" s="645"/>
      <c r="J59" s="645"/>
      <c r="K59" s="763"/>
      <c r="L59" s="772">
        <f>'2023-2 mln'!N39</f>
        <v>0</v>
      </c>
      <c r="M59" s="763">
        <f>'2024-20 mln'!N39</f>
        <v>80134.79452054793</v>
      </c>
      <c r="N59" s="767"/>
      <c r="O59" s="800">
        <f>'nowy 2024 -27,5mln'!N36</f>
        <v>365344.5205479452</v>
      </c>
      <c r="P59" s="800" t="e">
        <f>'nowy 2025 - 15 mln'!#REF!</f>
        <v>#REF!</v>
      </c>
      <c r="Q59" s="796" t="e">
        <f t="shared" si="7"/>
        <v>#REF!</v>
      </c>
      <c r="R59" s="647" t="e">
        <f t="shared" si="6"/>
        <v>#REF!</v>
      </c>
      <c r="S59" s="203"/>
      <c r="T59" s="204">
        <v>481000</v>
      </c>
      <c r="U59" s="205" t="e">
        <f t="shared" si="9"/>
        <v>#REF!</v>
      </c>
      <c r="V59" s="684">
        <v>2043</v>
      </c>
    </row>
    <row r="60" spans="1:22" ht="11.25">
      <c r="A60" s="684">
        <v>2044</v>
      </c>
      <c r="B60" s="133"/>
      <c r="C60" s="133"/>
      <c r="D60" s="645"/>
      <c r="E60" s="645"/>
      <c r="F60" s="645"/>
      <c r="G60" s="645"/>
      <c r="H60" s="645"/>
      <c r="I60" s="645"/>
      <c r="J60" s="645"/>
      <c r="K60" s="763"/>
      <c r="L60" s="772"/>
      <c r="M60" s="763"/>
      <c r="N60" s="767"/>
      <c r="O60" s="800">
        <f>'nowy 2024 -27,5mln'!N37</f>
        <v>182412.90983606558</v>
      </c>
      <c r="P60" s="800"/>
      <c r="Q60" s="796">
        <f t="shared" si="7"/>
        <v>182412.90983606558</v>
      </c>
      <c r="R60" s="647">
        <f t="shared" si="6"/>
        <v>182412.90983606558</v>
      </c>
      <c r="S60" s="203"/>
      <c r="T60" s="204">
        <v>202000</v>
      </c>
      <c r="U60" s="205">
        <f t="shared" si="9"/>
        <v>19587.090163934423</v>
      </c>
      <c r="V60" s="684">
        <v>2044</v>
      </c>
    </row>
    <row r="61" spans="1:22" ht="12" thickBot="1">
      <c r="A61" s="684">
        <v>2045</v>
      </c>
      <c r="B61" s="133"/>
      <c r="C61" s="133"/>
      <c r="D61" s="645"/>
      <c r="E61" s="645"/>
      <c r="F61" s="645"/>
      <c r="G61" s="645"/>
      <c r="H61" s="645"/>
      <c r="I61" s="645"/>
      <c r="J61" s="761"/>
      <c r="K61" s="763"/>
      <c r="L61" s="772"/>
      <c r="M61" s="763"/>
      <c r="N61" s="767">
        <f>SUM(B61:M61)</f>
        <v>0</v>
      </c>
      <c r="O61" s="809"/>
      <c r="P61" s="809"/>
      <c r="Q61" s="796">
        <f t="shared" si="7"/>
        <v>0</v>
      </c>
      <c r="R61" s="647">
        <f t="shared" si="6"/>
        <v>0</v>
      </c>
      <c r="S61" s="648"/>
      <c r="T61" s="403">
        <v>0</v>
      </c>
      <c r="U61" s="205">
        <f t="shared" si="9"/>
        <v>0</v>
      </c>
      <c r="V61" s="684">
        <v>2045</v>
      </c>
    </row>
    <row r="62" spans="1:22" ht="13.5" thickBot="1">
      <c r="A62" s="687" t="str">
        <f>A34</f>
        <v>Suma</v>
      </c>
      <c r="B62" s="125">
        <f>SUM(B39:B57)</f>
        <v>0</v>
      </c>
      <c r="C62" s="67">
        <f>SUM(C39:C57)</f>
        <v>0</v>
      </c>
      <c r="D62" s="408">
        <f>SUM(D40:D61)</f>
        <v>1632586.301369863</v>
      </c>
      <c r="E62" s="408">
        <f aca="true" t="shared" si="10" ref="E62:K62">SUM(E40:E61)</f>
        <v>2613567.602739726</v>
      </c>
      <c r="F62" s="408">
        <f t="shared" si="10"/>
        <v>10176266.4</v>
      </c>
      <c r="G62" s="408">
        <f t="shared" si="10"/>
        <v>2512875.625890411</v>
      </c>
      <c r="H62" s="408">
        <f t="shared" si="10"/>
        <v>11957602.689198298</v>
      </c>
      <c r="I62" s="408">
        <f t="shared" si="10"/>
        <v>636173.15637398</v>
      </c>
      <c r="J62" s="408">
        <f t="shared" si="10"/>
        <v>9403952.94520548</v>
      </c>
      <c r="K62" s="408">
        <f t="shared" si="10"/>
        <v>15887044.506849317</v>
      </c>
      <c r="L62" s="815">
        <f>SUM(L40:L61)</f>
        <v>149445.47945205477</v>
      </c>
      <c r="M62" s="815">
        <f>SUM(M40:M61)</f>
        <v>13506466.305182273</v>
      </c>
      <c r="N62" s="768">
        <f>SUM(D62:M62)</f>
        <v>68475981.0122614</v>
      </c>
      <c r="O62" s="811">
        <f>'nowy 2024 -27,5mln'!N38</f>
        <v>18201185.21362003</v>
      </c>
      <c r="P62" s="812">
        <f>'nowy 2025 - 15 mln'!N33</f>
        <v>6689075.190882551</v>
      </c>
      <c r="Q62" s="813">
        <f>O62+P62</f>
        <v>24890260.404502578</v>
      </c>
      <c r="R62" s="650">
        <f>N62+Q62</f>
        <v>93366241.41676399</v>
      </c>
      <c r="S62" s="651"/>
      <c r="T62" s="408">
        <f>SUM(T39:T61)</f>
        <v>105384000</v>
      </c>
      <c r="U62" s="652" t="e">
        <f>SUM(U40:U61)</f>
        <v>#REF!</v>
      </c>
      <c r="V62"/>
    </row>
    <row r="63" spans="1:25" ht="11.25">
      <c r="A63" s="11"/>
      <c r="B63" s="133"/>
      <c r="C63" s="228"/>
      <c r="D63" s="249"/>
      <c r="E63" s="249"/>
      <c r="F63" s="249"/>
      <c r="G63" s="249"/>
      <c r="H63" s="249"/>
      <c r="I63" s="249"/>
      <c r="J63" s="249"/>
      <c r="K63" s="249"/>
      <c r="L63" s="249"/>
      <c r="M63" s="793"/>
      <c r="N63" s="249"/>
      <c r="O63" s="810"/>
      <c r="P63" s="250"/>
      <c r="Q63" s="797"/>
      <c r="R63" s="155"/>
      <c r="S63" s="155"/>
      <c r="U63" s="3"/>
      <c r="V63" s="250"/>
      <c r="W63" s="3"/>
      <c r="X63" s="3"/>
      <c r="Y63" s="3"/>
    </row>
    <row r="64" spans="21:25" ht="11.25">
      <c r="U64" s="3"/>
      <c r="V64" s="3"/>
      <c r="W64" s="3"/>
      <c r="X64" s="3"/>
      <c r="Y64" s="3"/>
    </row>
    <row r="65" spans="21:25" ht="11.25">
      <c r="U65" s="3"/>
      <c r="V65" s="3"/>
      <c r="W65" s="3"/>
      <c r="X65" s="3"/>
      <c r="Y65" s="3"/>
    </row>
    <row r="66" spans="5:25" ht="12" hidden="1" thickBot="1">
      <c r="E66" s="19" t="s">
        <v>62</v>
      </c>
      <c r="F66" s="158">
        <v>4.2693</v>
      </c>
      <c r="G66" s="159"/>
      <c r="H66" s="161"/>
      <c r="I66" s="161"/>
      <c r="J66" s="160"/>
      <c r="K66" s="697"/>
      <c r="L66" s="697"/>
      <c r="M66" s="161"/>
      <c r="O66" s="161"/>
      <c r="P66" s="161"/>
      <c r="Q66" s="162"/>
      <c r="U66" s="3"/>
      <c r="V66" s="3"/>
      <c r="W66" s="3"/>
      <c r="X66" s="3"/>
      <c r="Y66" s="3"/>
    </row>
    <row r="67" spans="21:25" ht="11.25" hidden="1">
      <c r="U67" s="3"/>
      <c r="V67" s="3"/>
      <c r="W67" s="3"/>
      <c r="X67" s="3"/>
      <c r="Y67" s="3"/>
    </row>
    <row r="68" ht="11.25" hidden="1"/>
    <row r="69" ht="11.25" hidden="1"/>
    <row r="70" ht="11.25" hidden="1"/>
    <row r="71" ht="11.25" hidden="1"/>
    <row r="72" ht="11.25" hidden="1">
      <c r="G72" s="17" t="s">
        <v>64</v>
      </c>
    </row>
    <row r="73" spans="4:7" ht="12.75" customHeight="1" hidden="1">
      <c r="D73" s="653"/>
      <c r="E73" s="653"/>
      <c r="F73" s="653"/>
      <c r="G73" s="654"/>
    </row>
    <row r="74" spans="4:7" ht="11.25" hidden="1">
      <c r="D74" s="252">
        <v>2</v>
      </c>
      <c r="E74" s="252">
        <v>3</v>
      </c>
      <c r="F74" s="252">
        <v>4</v>
      </c>
      <c r="G74" s="253">
        <v>5</v>
      </c>
    </row>
    <row r="75" spans="4:7" ht="11.25" hidden="1">
      <c r="D75" s="112" t="s">
        <v>67</v>
      </c>
      <c r="E75" s="168" t="s">
        <v>68</v>
      </c>
      <c r="F75" s="168" t="s">
        <v>69</v>
      </c>
      <c r="G75" s="169" t="s">
        <v>70</v>
      </c>
    </row>
    <row r="76" spans="4:7" ht="11.25" hidden="1">
      <c r="D76" s="172">
        <f>SUM(G11)</f>
        <v>21000</v>
      </c>
      <c r="E76" s="172" t="e">
        <f>SUM(#REF!+#REF!)</f>
        <v>#REF!</v>
      </c>
      <c r="F76" s="173" t="e">
        <f>#REF!</f>
        <v>#REF!</v>
      </c>
      <c r="G76" s="174" t="e">
        <f aca="true" t="shared" si="11" ref="G76:G96">SUM(D76:F76)</f>
        <v>#REF!</v>
      </c>
    </row>
    <row r="77" spans="4:7" ht="11.25" hidden="1">
      <c r="D77" s="172" t="e">
        <f>SUM(#REF!)</f>
        <v>#REF!</v>
      </c>
      <c r="E77" s="172" t="e">
        <f>SUM(#REF!+#REF!)</f>
        <v>#REF!</v>
      </c>
      <c r="F77" s="173" t="e">
        <f>#REF!</f>
        <v>#REF!</v>
      </c>
      <c r="G77" s="174" t="e">
        <f t="shared" si="11"/>
        <v>#REF!</v>
      </c>
    </row>
    <row r="78" spans="4:7" ht="11.25" hidden="1">
      <c r="D78" s="172">
        <f aca="true" t="shared" si="12" ref="D78:D96">SUM(G12)</f>
        <v>8610000</v>
      </c>
      <c r="E78" s="172" t="e">
        <f>SUM(#REF!+#REF!)</f>
        <v>#REF!</v>
      </c>
      <c r="F78" s="173" t="e">
        <f>#REF!</f>
        <v>#REF!</v>
      </c>
      <c r="G78" s="174" t="e">
        <f t="shared" si="11"/>
        <v>#REF!</v>
      </c>
    </row>
    <row r="79" spans="4:7" ht="11.25" hidden="1">
      <c r="D79" s="172">
        <f t="shared" si="12"/>
        <v>2500000</v>
      </c>
      <c r="E79" s="172" t="e">
        <f>SUM(#REF!+#REF!)</f>
        <v>#REF!</v>
      </c>
      <c r="F79" s="173" t="e">
        <f>#REF!</f>
        <v>#REF!</v>
      </c>
      <c r="G79" s="174" t="e">
        <f t="shared" si="11"/>
        <v>#REF!</v>
      </c>
    </row>
    <row r="80" spans="4:7" ht="11.25" hidden="1">
      <c r="D80" s="172">
        <f t="shared" si="12"/>
        <v>0</v>
      </c>
      <c r="E80" s="172" t="e">
        <f>SUM(#REF!+#REF!)</f>
        <v>#REF!</v>
      </c>
      <c r="F80" s="173" t="e">
        <f>#REF!</f>
        <v>#REF!</v>
      </c>
      <c r="G80" s="174" t="e">
        <f t="shared" si="11"/>
        <v>#REF!</v>
      </c>
    </row>
    <row r="81" spans="4:7" ht="11.25" hidden="1">
      <c r="D81" s="172">
        <f t="shared" si="12"/>
        <v>0</v>
      </c>
      <c r="E81" s="172" t="e">
        <f>SUM(#REF!+#REF!)</f>
        <v>#REF!</v>
      </c>
      <c r="F81" s="173" t="e">
        <f>#REF!</f>
        <v>#REF!</v>
      </c>
      <c r="G81" s="174" t="e">
        <f t="shared" si="11"/>
        <v>#REF!</v>
      </c>
    </row>
    <row r="82" spans="4:7" ht="11.25" hidden="1">
      <c r="D82" s="172">
        <f t="shared" si="12"/>
        <v>0</v>
      </c>
      <c r="E82" s="172" t="e">
        <f>SUM(#REF!+#REF!)</f>
        <v>#REF!</v>
      </c>
      <c r="F82" s="173" t="e">
        <f>#REF!</f>
        <v>#REF!</v>
      </c>
      <c r="G82" s="174" t="e">
        <f t="shared" si="11"/>
        <v>#REF!</v>
      </c>
    </row>
    <row r="83" spans="4:7" ht="11.25" hidden="1">
      <c r="D83" s="172">
        <f t="shared" si="12"/>
        <v>500000</v>
      </c>
      <c r="E83" s="172" t="e">
        <f>SUM(#REF!+#REF!)</f>
        <v>#REF!</v>
      </c>
      <c r="F83" s="173" t="e">
        <f>#REF!</f>
        <v>#REF!</v>
      </c>
      <c r="G83" s="174" t="e">
        <f t="shared" si="11"/>
        <v>#REF!</v>
      </c>
    </row>
    <row r="84" spans="4:7" ht="11.25" hidden="1">
      <c r="D84" s="172">
        <f t="shared" si="12"/>
        <v>500000</v>
      </c>
      <c r="E84" s="172" t="e">
        <f>SUM(#REF!+#REF!)</f>
        <v>#REF!</v>
      </c>
      <c r="F84" s="173" t="e">
        <f>#REF!</f>
        <v>#REF!</v>
      </c>
      <c r="G84" s="174" t="e">
        <f t="shared" si="11"/>
        <v>#REF!</v>
      </c>
    </row>
    <row r="85" spans="4:7" ht="11.25" hidden="1">
      <c r="D85" s="172">
        <f t="shared" si="12"/>
        <v>500000</v>
      </c>
      <c r="E85" s="172" t="e">
        <f>SUM(#REF!+#REF!)</f>
        <v>#REF!</v>
      </c>
      <c r="F85" s="173" t="e">
        <f>#REF!</f>
        <v>#REF!</v>
      </c>
      <c r="G85" s="174" t="e">
        <f t="shared" si="11"/>
        <v>#REF!</v>
      </c>
    </row>
    <row r="86" spans="4:7" ht="11.25" hidden="1">
      <c r="D86" s="172">
        <f t="shared" si="12"/>
        <v>652000</v>
      </c>
      <c r="E86" s="172" t="e">
        <f>SUM(#REF!+#REF!)</f>
        <v>#REF!</v>
      </c>
      <c r="F86" s="173" t="e">
        <f>#REF!</f>
        <v>#REF!</v>
      </c>
      <c r="G86" s="174" t="e">
        <f t="shared" si="11"/>
        <v>#REF!</v>
      </c>
    </row>
    <row r="87" spans="4:7" ht="11.25" hidden="1">
      <c r="D87" s="172">
        <f t="shared" si="12"/>
        <v>195000</v>
      </c>
      <c r="E87" s="172" t="e">
        <f>SUM(#REF!+#REF!)</f>
        <v>#REF!</v>
      </c>
      <c r="F87" s="173" t="e">
        <f>#REF!</f>
        <v>#REF!</v>
      </c>
      <c r="G87" s="174" t="e">
        <f t="shared" si="11"/>
        <v>#REF!</v>
      </c>
    </row>
    <row r="88" spans="4:7" ht="11.25" hidden="1">
      <c r="D88" s="172">
        <f t="shared" si="12"/>
        <v>195000</v>
      </c>
      <c r="E88" s="172" t="e">
        <f>SUM(#REF!+#REF!)</f>
        <v>#REF!</v>
      </c>
      <c r="F88" s="173" t="e">
        <f>#REF!</f>
        <v>#REF!</v>
      </c>
      <c r="G88" s="174" t="e">
        <f t="shared" si="11"/>
        <v>#REF!</v>
      </c>
    </row>
    <row r="89" spans="4:7" ht="11.25" hidden="1">
      <c r="D89" s="172">
        <f t="shared" si="12"/>
        <v>195000</v>
      </c>
      <c r="E89" s="172" t="e">
        <f>SUM(#REF!+#REF!)</f>
        <v>#REF!</v>
      </c>
      <c r="F89" s="173" t="e">
        <f>#REF!</f>
        <v>#REF!</v>
      </c>
      <c r="G89" s="174" t="e">
        <f t="shared" si="11"/>
        <v>#REF!</v>
      </c>
    </row>
    <row r="90" spans="4:7" ht="11.25" hidden="1">
      <c r="D90" s="172">
        <f t="shared" si="12"/>
        <v>195000</v>
      </c>
      <c r="E90" s="172" t="e">
        <f>SUM(#REF!+#REF!)</f>
        <v>#REF!</v>
      </c>
      <c r="F90" s="173" t="e">
        <f>#REF!</f>
        <v>#REF!</v>
      </c>
      <c r="G90" s="174" t="e">
        <f t="shared" si="11"/>
        <v>#REF!</v>
      </c>
    </row>
    <row r="91" spans="4:7" ht="11.25" hidden="1">
      <c r="D91" s="172">
        <f t="shared" si="12"/>
        <v>195000</v>
      </c>
      <c r="E91" s="172" t="e">
        <f>SUM(#REF!+#REF!)</f>
        <v>#REF!</v>
      </c>
      <c r="F91" s="173" t="e">
        <f>#REF!</f>
        <v>#REF!</v>
      </c>
      <c r="G91" s="174" t="e">
        <f t="shared" si="11"/>
        <v>#REF!</v>
      </c>
    </row>
    <row r="92" spans="4:7" ht="11.25" hidden="1">
      <c r="D92" s="172">
        <f t="shared" si="12"/>
        <v>270000</v>
      </c>
      <c r="E92" s="172" t="e">
        <f>SUM(#REF!+#REF!)</f>
        <v>#REF!</v>
      </c>
      <c r="F92" s="173" t="e">
        <f>#REF!</f>
        <v>#REF!</v>
      </c>
      <c r="G92" s="174" t="e">
        <f t="shared" si="11"/>
        <v>#REF!</v>
      </c>
    </row>
    <row r="93" spans="4:7" ht="11.25" hidden="1">
      <c r="D93" s="172">
        <f t="shared" si="12"/>
        <v>270000</v>
      </c>
      <c r="E93" s="172" t="e">
        <f>SUM(#REF!+#REF!)</f>
        <v>#REF!</v>
      </c>
      <c r="F93" s="173" t="e">
        <f>#REF!</f>
        <v>#REF!</v>
      </c>
      <c r="G93" s="174" t="e">
        <f t="shared" si="11"/>
        <v>#REF!</v>
      </c>
    </row>
    <row r="94" spans="4:7" ht="11.25" hidden="1">
      <c r="D94" s="172">
        <f t="shared" si="12"/>
        <v>70000</v>
      </c>
      <c r="E94" s="172" t="e">
        <f>SUM(#REF!+#REF!)</f>
        <v>#REF!</v>
      </c>
      <c r="F94" s="173" t="e">
        <f>#REF!</f>
        <v>#REF!</v>
      </c>
      <c r="G94" s="174" t="e">
        <f t="shared" si="11"/>
        <v>#REF!</v>
      </c>
    </row>
    <row r="95" spans="4:7" ht="11.25" hidden="1">
      <c r="D95" s="172">
        <f t="shared" si="12"/>
        <v>70000</v>
      </c>
      <c r="E95" s="172" t="e">
        <f>SUM(#REF!+#REF!)</f>
        <v>#REF!</v>
      </c>
      <c r="F95" s="173" t="e">
        <f>#REF!</f>
        <v>#REF!</v>
      </c>
      <c r="G95" s="174" t="e">
        <f t="shared" si="11"/>
        <v>#REF!</v>
      </c>
    </row>
    <row r="96" spans="4:7" ht="11.25" hidden="1">
      <c r="D96" s="172">
        <f t="shared" si="12"/>
        <v>47000</v>
      </c>
      <c r="E96" s="172" t="e">
        <f>SUM(#REF!+#REF!)</f>
        <v>#REF!</v>
      </c>
      <c r="F96" s="173" t="e">
        <f>#REF!</f>
        <v>#REF!</v>
      </c>
      <c r="G96" s="174" t="e">
        <f t="shared" si="11"/>
        <v>#REF!</v>
      </c>
    </row>
    <row r="97" spans="4:7" ht="12" hidden="1" thickBot="1">
      <c r="D97" s="177" t="e">
        <f>SUM(D76:D96)</f>
        <v>#REF!</v>
      </c>
      <c r="E97" s="177" t="e">
        <f>SUM(E76:E96)</f>
        <v>#REF!</v>
      </c>
      <c r="F97" s="176" t="e">
        <f>SUM(F76:F96)</f>
        <v>#REF!</v>
      </c>
      <c r="G97" s="178" t="e">
        <f>SUM(G76:G96)</f>
        <v>#REF!</v>
      </c>
    </row>
    <row r="98" ht="11.25" hidden="1"/>
    <row r="100" ht="13.5" customHeight="1"/>
  </sheetData>
  <sheetProtection selectLockedCells="1" selectUnlockedCells="1"/>
  <mergeCells count="8">
    <mergeCell ref="N1:T1"/>
    <mergeCell ref="Q2:U2"/>
    <mergeCell ref="A3:B3"/>
    <mergeCell ref="B4:C4"/>
    <mergeCell ref="A7:F7"/>
    <mergeCell ref="G7:I7"/>
    <mergeCell ref="J7:N7"/>
    <mergeCell ref="O7:Q7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8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.7109375" style="1" customWidth="1"/>
    <col min="2" max="2" width="12.28125" style="1" hidden="1" customWidth="1"/>
    <col min="3" max="3" width="10.7109375" style="1" hidden="1" customWidth="1"/>
    <col min="4" max="4" width="12.57421875" style="1" customWidth="1"/>
    <col min="5" max="5" width="13.140625" style="1" customWidth="1"/>
    <col min="6" max="6" width="13.00390625" style="1" customWidth="1"/>
    <col min="7" max="7" width="12.57421875" style="1" customWidth="1"/>
    <col min="8" max="8" width="13.140625" style="1" customWidth="1"/>
    <col min="9" max="9" width="13.00390625" style="1" customWidth="1"/>
    <col min="10" max="11" width="12.7109375" style="1" customWidth="1"/>
    <col min="12" max="12" width="14.00390625" style="1" customWidth="1"/>
    <col min="13" max="13" width="14.28125" style="1" customWidth="1"/>
    <col min="14" max="15" width="14.7109375" style="1" customWidth="1"/>
    <col min="16" max="16" width="13.57421875" style="1" customWidth="1"/>
    <col min="17" max="17" width="13.421875" style="1" customWidth="1"/>
    <col min="18" max="18" width="13.7109375" style="1" hidden="1" customWidth="1"/>
    <col min="19" max="19" width="13.7109375" style="1" bestFit="1" customWidth="1"/>
    <col min="20" max="20" width="12.57421875" style="1" customWidth="1"/>
    <col min="21" max="21" width="5.8515625" style="1" customWidth="1"/>
    <col min="22" max="22" width="5.00390625" style="1" customWidth="1"/>
    <col min="23" max="23" width="15.140625" style="1" customWidth="1"/>
    <col min="24" max="24" width="6.00390625" style="1" customWidth="1"/>
    <col min="25" max="25" width="11.8515625" style="1" customWidth="1"/>
    <col min="26" max="26" width="10.421875" style="1" customWidth="1"/>
    <col min="27" max="253" width="9.140625" style="1" customWidth="1"/>
  </cols>
  <sheetData>
    <row r="1" spans="3:19" ht="21.75" thickBot="1">
      <c r="C1" s="580" t="s">
        <v>211</v>
      </c>
      <c r="D1" s="581"/>
      <c r="E1" s="582"/>
      <c r="F1" s="582"/>
      <c r="G1" s="582"/>
      <c r="H1" s="582"/>
      <c r="J1" s="583"/>
      <c r="K1" s="583"/>
      <c r="L1" s="847" t="s">
        <v>223</v>
      </c>
      <c r="M1" s="847"/>
      <c r="N1" s="847"/>
      <c r="O1" s="847"/>
      <c r="P1" s="847"/>
      <c r="Q1" s="847"/>
      <c r="R1" s="847"/>
      <c r="S1" s="847"/>
    </row>
    <row r="2" spans="4:25" ht="26.25" customHeight="1" thickBot="1">
      <c r="D2" s="584" t="s">
        <v>239</v>
      </c>
      <c r="P2" s="858" t="s">
        <v>238</v>
      </c>
      <c r="Q2" s="859"/>
      <c r="R2" s="859"/>
      <c r="S2" s="859"/>
      <c r="T2" s="860"/>
      <c r="Y2" s="6"/>
    </row>
    <row r="3" spans="1:20" ht="33.75" customHeight="1" thickBot="1">
      <c r="A3" s="848" t="s">
        <v>3</v>
      </c>
      <c r="B3" s="848"/>
      <c r="C3" s="585" t="s">
        <v>4</v>
      </c>
      <c r="D3" s="10"/>
      <c r="E3" s="10"/>
      <c r="F3" s="10"/>
      <c r="G3" s="586" t="s">
        <v>4</v>
      </c>
      <c r="I3" s="159"/>
      <c r="J3" s="586" t="s">
        <v>4</v>
      </c>
      <c r="K3" s="10"/>
      <c r="L3" s="10"/>
      <c r="M3" s="10"/>
      <c r="N3" s="10"/>
      <c r="O3" s="10"/>
      <c r="Q3" s="3"/>
      <c r="R3" s="3"/>
      <c r="S3" s="4"/>
      <c r="T3" s="5"/>
    </row>
    <row r="4" spans="2:20" ht="18.75" customHeight="1" thickBot="1">
      <c r="B4" s="849"/>
      <c r="C4" s="849"/>
      <c r="I4" s="587"/>
      <c r="J4" s="216"/>
      <c r="K4" s="217"/>
      <c r="M4" s="217"/>
      <c r="N4" s="217"/>
      <c r="O4" s="217"/>
      <c r="Q4" s="3"/>
      <c r="R4" s="3"/>
      <c r="S4" s="4"/>
      <c r="T4" s="5"/>
    </row>
    <row r="5" spans="1:15" ht="13.5" thickBot="1">
      <c r="A5" s="588" t="s">
        <v>5</v>
      </c>
      <c r="B5" s="589">
        <v>0.65</v>
      </c>
      <c r="C5" s="589">
        <v>2.4</v>
      </c>
      <c r="D5" s="589">
        <v>0.9</v>
      </c>
      <c r="E5" s="589">
        <v>1.4</v>
      </c>
      <c r="F5" s="589">
        <v>1.2</v>
      </c>
      <c r="G5" s="590">
        <v>1.64</v>
      </c>
      <c r="H5" s="591">
        <v>0.85</v>
      </c>
      <c r="I5" s="592">
        <v>0.85</v>
      </c>
      <c r="J5" s="780">
        <v>0.52</v>
      </c>
      <c r="K5" s="781">
        <v>0.52</v>
      </c>
      <c r="M5" s="692">
        <v>0.75</v>
      </c>
      <c r="N5" s="593">
        <v>0.75</v>
      </c>
      <c r="O5" s="220">
        <v>0.85</v>
      </c>
    </row>
    <row r="6" spans="1:15" ht="34.5" thickBot="1">
      <c r="A6" s="594" t="s">
        <v>6</v>
      </c>
      <c r="B6" s="156">
        <f>0.65+0.68</f>
        <v>1.33</v>
      </c>
      <c r="C6" s="595">
        <f>2.4+1.56</f>
        <v>3.96</v>
      </c>
      <c r="D6" s="596">
        <f>0.9+5.66</f>
        <v>6.5600000000000005</v>
      </c>
      <c r="E6" s="596">
        <f>1.4+5.66</f>
        <v>7.0600000000000005</v>
      </c>
      <c r="F6" s="596">
        <f>1.2+5.66</f>
        <v>6.86</v>
      </c>
      <c r="G6" s="596">
        <f>1.64+5.66</f>
        <v>7.3</v>
      </c>
      <c r="H6" s="597">
        <f>H5+5.66</f>
        <v>6.51</v>
      </c>
      <c r="I6" s="598">
        <f>I5+5.66</f>
        <v>6.51</v>
      </c>
      <c r="J6" s="782">
        <f>J5+5.66</f>
        <v>6.18</v>
      </c>
      <c r="K6" s="783">
        <f>5.66+K5</f>
        <v>6.18</v>
      </c>
      <c r="L6" s="13"/>
      <c r="M6" s="693">
        <f>M5+5.66</f>
        <v>6.41</v>
      </c>
      <c r="N6" s="599">
        <f>N5+5.66</f>
        <v>6.41</v>
      </c>
      <c r="O6" s="790"/>
    </row>
    <row r="7" spans="1:21" ht="13.5" thickBot="1">
      <c r="A7" s="861" t="s">
        <v>240</v>
      </c>
      <c r="B7" s="861"/>
      <c r="C7" s="861"/>
      <c r="D7" s="861"/>
      <c r="E7" s="861"/>
      <c r="F7" s="862"/>
      <c r="G7" s="863" t="s">
        <v>241</v>
      </c>
      <c r="H7" s="863"/>
      <c r="I7" s="863" t="s">
        <v>212</v>
      </c>
      <c r="J7" s="863" t="s">
        <v>241</v>
      </c>
      <c r="K7" s="863"/>
      <c r="L7" s="863" t="s">
        <v>212</v>
      </c>
      <c r="M7" s="863" t="s">
        <v>241</v>
      </c>
      <c r="N7" s="863"/>
      <c r="O7" s="863"/>
      <c r="P7" s="863" t="s">
        <v>212</v>
      </c>
      <c r="Q7" s="217"/>
      <c r="U7" s="1" t="s">
        <v>11</v>
      </c>
    </row>
    <row r="8" spans="1:23" ht="13.5" thickBot="1">
      <c r="A8" s="19"/>
      <c r="B8" s="20">
        <v>5</v>
      </c>
      <c r="C8" s="20">
        <v>10</v>
      </c>
      <c r="D8" s="20">
        <v>1</v>
      </c>
      <c r="E8" s="20">
        <v>2</v>
      </c>
      <c r="F8" s="20">
        <v>3</v>
      </c>
      <c r="G8" s="324">
        <v>4</v>
      </c>
      <c r="H8" s="20">
        <v>5</v>
      </c>
      <c r="I8" s="324">
        <v>6</v>
      </c>
      <c r="J8" s="324">
        <v>7</v>
      </c>
      <c r="K8" s="324">
        <v>8</v>
      </c>
      <c r="L8" s="324">
        <v>9</v>
      </c>
      <c r="M8" s="324">
        <v>10</v>
      </c>
      <c r="N8" s="324">
        <v>11</v>
      </c>
      <c r="O8" s="600"/>
      <c r="P8" s="600">
        <v>12</v>
      </c>
      <c r="Q8" s="600">
        <v>13</v>
      </c>
      <c r="R8" s="324">
        <v>29</v>
      </c>
      <c r="S8" s="13">
        <v>14</v>
      </c>
      <c r="T8" s="717">
        <v>15</v>
      </c>
      <c r="U8" s="601"/>
      <c r="W8" s="719">
        <v>16</v>
      </c>
    </row>
    <row r="9" spans="1:23" ht="54.75" customHeight="1" thickBot="1">
      <c r="A9" s="688" t="s">
        <v>13</v>
      </c>
      <c r="B9" s="602" t="s">
        <v>14</v>
      </c>
      <c r="C9" s="28" t="s">
        <v>15</v>
      </c>
      <c r="D9" s="678" t="s">
        <v>20</v>
      </c>
      <c r="E9" s="678" t="s">
        <v>21</v>
      </c>
      <c r="F9" s="679" t="s">
        <v>22</v>
      </c>
      <c r="G9" s="720" t="s">
        <v>234</v>
      </c>
      <c r="H9" s="603" t="s">
        <v>232</v>
      </c>
      <c r="I9" s="603" t="s">
        <v>233</v>
      </c>
      <c r="J9" s="604" t="s">
        <v>231</v>
      </c>
      <c r="K9" s="604" t="s">
        <v>229</v>
      </c>
      <c r="L9" s="605" t="s">
        <v>227</v>
      </c>
      <c r="M9" s="702" t="s">
        <v>230</v>
      </c>
      <c r="N9" s="722" t="s">
        <v>237</v>
      </c>
      <c r="O9" s="791" t="s">
        <v>93</v>
      </c>
      <c r="P9" s="721" t="s">
        <v>28</v>
      </c>
      <c r="Q9" s="607" t="s">
        <v>228</v>
      </c>
      <c r="R9" s="608"/>
      <c r="S9" s="606" t="s">
        <v>225</v>
      </c>
      <c r="T9" s="609" t="s">
        <v>31</v>
      </c>
      <c r="U9" s="610" t="s">
        <v>13</v>
      </c>
      <c r="W9" s="718" t="s">
        <v>226</v>
      </c>
    </row>
    <row r="10" spans="1:23" ht="12.75" hidden="1">
      <c r="A10" s="689">
        <v>2020</v>
      </c>
      <c r="B10" s="57">
        <v>1102991</v>
      </c>
      <c r="C10" s="43">
        <f>30000</f>
        <v>30000</v>
      </c>
      <c r="D10" s="340"/>
      <c r="E10" s="340">
        <v>875000</v>
      </c>
      <c r="F10" s="341"/>
      <c r="G10" s="611"/>
      <c r="H10" s="612"/>
      <c r="I10" s="613"/>
      <c r="J10" s="614"/>
      <c r="K10" s="614"/>
      <c r="L10" s="615">
        <f>SUM(B10:G10)</f>
        <v>2007991</v>
      </c>
      <c r="M10" s="703"/>
      <c r="N10" s="704"/>
      <c r="O10" s="704"/>
      <c r="P10" s="616" t="e">
        <f>SUM(#REF!)</f>
        <v>#REF!</v>
      </c>
      <c r="Q10" s="617">
        <v>9068982</v>
      </c>
      <c r="R10" s="618"/>
      <c r="T10" s="619">
        <v>0</v>
      </c>
      <c r="U10" s="620">
        <v>2020</v>
      </c>
      <c r="V10" s="626" t="s">
        <v>32</v>
      </c>
      <c r="W10" s="713"/>
    </row>
    <row r="11" spans="1:23" ht="12.75" hidden="1">
      <c r="A11" s="690">
        <v>2021</v>
      </c>
      <c r="B11" s="621"/>
      <c r="C11" s="349"/>
      <c r="D11" s="227"/>
      <c r="E11" s="227">
        <v>3375000</v>
      </c>
      <c r="F11" s="350"/>
      <c r="G11" s="351">
        <v>21000</v>
      </c>
      <c r="H11" s="352"/>
      <c r="I11" s="66"/>
      <c r="J11" s="622"/>
      <c r="K11" s="622"/>
      <c r="L11" s="48">
        <f>SUM(B11:G11)</f>
        <v>3396000</v>
      </c>
      <c r="M11" s="705"/>
      <c r="N11" s="706"/>
      <c r="O11" s="706"/>
      <c r="P11" s="623">
        <f>SUM(J11:J11)</f>
        <v>0</v>
      </c>
      <c r="Q11" s="624">
        <f>L11+P11</f>
        <v>3396000</v>
      </c>
      <c r="R11" s="68"/>
      <c r="T11" s="625">
        <f>R11-Q11</f>
        <v>-3396000</v>
      </c>
      <c r="U11" s="348">
        <v>2021</v>
      </c>
      <c r="V11" s="711" t="s">
        <v>34</v>
      </c>
      <c r="W11" s="713"/>
    </row>
    <row r="12" spans="1:23" ht="12.75">
      <c r="A12" s="690">
        <v>2023</v>
      </c>
      <c r="B12" s="626"/>
      <c r="C12" s="45"/>
      <c r="D12" s="43"/>
      <c r="E12" s="43"/>
      <c r="F12" s="44"/>
      <c r="G12" s="710">
        <f>25000+2000000+2000000+1890000+1565000+565000+565000</f>
        <v>8610000</v>
      </c>
      <c r="H12" s="699">
        <v>100000</v>
      </c>
      <c r="I12" s="700">
        <v>1500000</v>
      </c>
      <c r="J12" s="627">
        <v>1000000</v>
      </c>
      <c r="K12" s="627"/>
      <c r="L12" s="628">
        <f>SUM(B12:J12)+W12</f>
        <v>11210000</v>
      </c>
      <c r="M12" s="705"/>
      <c r="N12" s="707"/>
      <c r="O12" s="792"/>
      <c r="P12" s="623">
        <f>SUM(M12+N12)</f>
        <v>0</v>
      </c>
      <c r="Q12" s="624">
        <f>SUM(D12:K12)+P12</f>
        <v>11210000</v>
      </c>
      <c r="R12" s="68"/>
      <c r="S12" s="629">
        <v>11210000</v>
      </c>
      <c r="T12" s="630">
        <f>Q12-S12</f>
        <v>0</v>
      </c>
      <c r="U12" s="348">
        <v>2023</v>
      </c>
      <c r="V12" s="711"/>
      <c r="W12" s="713"/>
    </row>
    <row r="13" spans="1:24" ht="12.75">
      <c r="A13" s="690">
        <v>2024</v>
      </c>
      <c r="B13" s="626"/>
      <c r="C13" s="45"/>
      <c r="D13" s="43">
        <v>2500000</v>
      </c>
      <c r="E13" s="43">
        <f>1875000</f>
        <v>1875000</v>
      </c>
      <c r="F13" s="44"/>
      <c r="G13" s="723">
        <f>65000+500000-565000</f>
        <v>0</v>
      </c>
      <c r="H13" s="699">
        <v>150000</v>
      </c>
      <c r="I13" s="700">
        <v>200000</v>
      </c>
      <c r="J13" s="627">
        <v>1000000</v>
      </c>
      <c r="K13" s="627">
        <v>50000</v>
      </c>
      <c r="L13" s="628">
        <f aca="true" t="shared" si="0" ref="L13:L34">SUM(B13:J13)+W13</f>
        <v>5775000</v>
      </c>
      <c r="M13" s="705">
        <v>1000000</v>
      </c>
      <c r="N13" s="707"/>
      <c r="O13" s="792"/>
      <c r="P13" s="623">
        <f>SUM(M13+N13+O13)</f>
        <v>1000000</v>
      </c>
      <c r="Q13" s="624">
        <f>SUM(D13:K13)+P13</f>
        <v>6775000</v>
      </c>
      <c r="R13" s="68"/>
      <c r="S13" s="629">
        <v>6775000</v>
      </c>
      <c r="T13" s="630">
        <f>Q13-S13</f>
        <v>0</v>
      </c>
      <c r="U13" s="348">
        <v>2024</v>
      </c>
      <c r="V13" s="711" t="s">
        <v>35</v>
      </c>
      <c r="W13" s="714">
        <f>K13</f>
        <v>50000</v>
      </c>
      <c r="X13" s="348">
        <v>2024</v>
      </c>
    </row>
    <row r="14" spans="1:24" ht="12.75">
      <c r="A14" s="690">
        <v>2025</v>
      </c>
      <c r="B14" s="626"/>
      <c r="C14" s="45"/>
      <c r="D14" s="43">
        <v>2500000</v>
      </c>
      <c r="E14" s="43">
        <f>1875000</f>
        <v>1875000</v>
      </c>
      <c r="F14" s="44"/>
      <c r="G14" s="710">
        <f>65000+1500000-1000000-565000</f>
        <v>0</v>
      </c>
      <c r="H14" s="699">
        <v>150000</v>
      </c>
      <c r="I14" s="700">
        <v>200000</v>
      </c>
      <c r="J14" s="627">
        <v>1000000</v>
      </c>
      <c r="K14" s="627">
        <v>100000</v>
      </c>
      <c r="L14" s="628">
        <f t="shared" si="0"/>
        <v>5825000</v>
      </c>
      <c r="M14" s="705">
        <v>1000000</v>
      </c>
      <c r="N14" s="707">
        <v>1000000</v>
      </c>
      <c r="O14" s="792">
        <f>'nowy 2024 -27,5mln'!O18</f>
        <v>1000000</v>
      </c>
      <c r="P14" s="623">
        <f aca="true" t="shared" si="1" ref="P14:P34">SUM(M14+N14+O14)</f>
        <v>3000000</v>
      </c>
      <c r="Q14" s="624">
        <f aca="true" t="shared" si="2" ref="Q14:Q34">SUM(D14:K14)+P14</f>
        <v>8825000</v>
      </c>
      <c r="R14" s="68"/>
      <c r="S14" s="629">
        <v>7825000</v>
      </c>
      <c r="T14" s="630">
        <f aca="true" t="shared" si="3" ref="T14:T34">Q14-S14</f>
        <v>1000000</v>
      </c>
      <c r="U14" s="348">
        <v>2025</v>
      </c>
      <c r="V14" s="711" t="s">
        <v>36</v>
      </c>
      <c r="W14" s="714">
        <f aca="true" t="shared" si="4" ref="W14:W22">K14</f>
        <v>100000</v>
      </c>
      <c r="X14" s="348">
        <v>2025</v>
      </c>
    </row>
    <row r="15" spans="1:24" ht="12.75">
      <c r="A15" s="690">
        <v>2026</v>
      </c>
      <c r="B15" s="626"/>
      <c r="C15" s="45"/>
      <c r="D15" s="43">
        <v>2500000</v>
      </c>
      <c r="E15" s="43">
        <v>1875000</v>
      </c>
      <c r="F15" s="44"/>
      <c r="G15" s="710">
        <f>65000+1500000-565000</f>
        <v>1000000</v>
      </c>
      <c r="H15" s="699">
        <v>200000</v>
      </c>
      <c r="I15" s="700">
        <v>200000</v>
      </c>
      <c r="J15" s="627">
        <v>1000000</v>
      </c>
      <c r="K15" s="627">
        <v>1500000</v>
      </c>
      <c r="L15" s="628">
        <f>SUM(B15:J15)+W15</f>
        <v>8275000</v>
      </c>
      <c r="M15" s="705"/>
      <c r="N15" s="707">
        <v>1000000</v>
      </c>
      <c r="O15" s="792">
        <f>'nowy 2024 -27,5mln'!O19</f>
        <v>1000000</v>
      </c>
      <c r="P15" s="623">
        <f t="shared" si="1"/>
        <v>2000000</v>
      </c>
      <c r="Q15" s="624">
        <f t="shared" si="2"/>
        <v>10275000</v>
      </c>
      <c r="R15" s="68"/>
      <c r="S15" s="629">
        <v>10275000</v>
      </c>
      <c r="T15" s="630">
        <f t="shared" si="3"/>
        <v>0</v>
      </c>
      <c r="U15" s="348">
        <v>2026</v>
      </c>
      <c r="V15" s="711" t="s">
        <v>37</v>
      </c>
      <c r="W15" s="714">
        <f t="shared" si="4"/>
        <v>1500000</v>
      </c>
      <c r="X15" s="348">
        <v>2026</v>
      </c>
    </row>
    <row r="16" spans="1:24" ht="12.75">
      <c r="A16" s="690">
        <v>2027</v>
      </c>
      <c r="B16" s="626"/>
      <c r="C16" s="45"/>
      <c r="D16" s="43">
        <v>2500000</v>
      </c>
      <c r="E16" s="43">
        <v>2000000</v>
      </c>
      <c r="F16" s="44">
        <v>1875000</v>
      </c>
      <c r="G16" s="709">
        <v>1000000</v>
      </c>
      <c r="H16" s="699">
        <v>200000</v>
      </c>
      <c r="I16" s="700">
        <v>200000</v>
      </c>
      <c r="J16" s="627">
        <v>1000000</v>
      </c>
      <c r="K16" s="627">
        <v>1000000</v>
      </c>
      <c r="L16" s="628">
        <f t="shared" si="0"/>
        <v>9775000</v>
      </c>
      <c r="M16" s="705"/>
      <c r="N16" s="707">
        <v>1000000</v>
      </c>
      <c r="O16" s="792">
        <f>'nowy 2024 -27,5mln'!O20</f>
        <v>1500000</v>
      </c>
      <c r="P16" s="623">
        <f t="shared" si="1"/>
        <v>2500000</v>
      </c>
      <c r="Q16" s="624">
        <f t="shared" si="2"/>
        <v>12275000</v>
      </c>
      <c r="R16" s="68"/>
      <c r="S16" s="629">
        <v>11775000</v>
      </c>
      <c r="T16" s="630">
        <f t="shared" si="3"/>
        <v>500000</v>
      </c>
      <c r="U16" s="348">
        <v>2027</v>
      </c>
      <c r="V16" s="712" t="s">
        <v>38</v>
      </c>
      <c r="W16" s="714">
        <f t="shared" si="4"/>
        <v>1000000</v>
      </c>
      <c r="X16" s="348">
        <v>2027</v>
      </c>
    </row>
    <row r="17" spans="1:24" ht="12.75">
      <c r="A17" s="690">
        <v>2028</v>
      </c>
      <c r="B17" s="626"/>
      <c r="C17" s="45"/>
      <c r="D17" s="43"/>
      <c r="E17" s="43">
        <v>2000000</v>
      </c>
      <c r="F17" s="44">
        <v>5100000</v>
      </c>
      <c r="G17" s="709">
        <v>1000000</v>
      </c>
      <c r="H17" s="699">
        <v>350000</v>
      </c>
      <c r="I17" s="700">
        <v>200000</v>
      </c>
      <c r="J17" s="627">
        <v>1000000</v>
      </c>
      <c r="K17" s="627">
        <v>100000</v>
      </c>
      <c r="L17" s="628">
        <f t="shared" si="0"/>
        <v>9750000</v>
      </c>
      <c r="M17" s="705"/>
      <c r="N17" s="707">
        <v>1000000</v>
      </c>
      <c r="O17" s="792">
        <f>'nowy 2024 -27,5mln'!O21</f>
        <v>1500000</v>
      </c>
      <c r="P17" s="623">
        <f t="shared" si="1"/>
        <v>2500000</v>
      </c>
      <c r="Q17" s="624">
        <f>SUM(D17:K17)+P17</f>
        <v>12250000</v>
      </c>
      <c r="R17" s="68"/>
      <c r="S17" s="629">
        <v>11250000</v>
      </c>
      <c r="T17" s="630">
        <f t="shared" si="3"/>
        <v>1000000</v>
      </c>
      <c r="U17" s="348">
        <v>2028</v>
      </c>
      <c r="V17" s="712" t="s">
        <v>39</v>
      </c>
      <c r="W17" s="714">
        <f t="shared" si="4"/>
        <v>100000</v>
      </c>
      <c r="X17" s="348">
        <v>2028</v>
      </c>
    </row>
    <row r="18" spans="1:24" ht="12.75">
      <c r="A18" s="690">
        <v>2029</v>
      </c>
      <c r="B18" s="626"/>
      <c r="C18" s="45"/>
      <c r="D18" s="43"/>
      <c r="E18" s="43">
        <v>1375000</v>
      </c>
      <c r="F18" s="44">
        <v>5100000</v>
      </c>
      <c r="G18" s="709">
        <v>500000</v>
      </c>
      <c r="H18" s="699">
        <v>1000000</v>
      </c>
      <c r="I18" s="700">
        <v>200000</v>
      </c>
      <c r="J18" s="627">
        <v>1000000</v>
      </c>
      <c r="K18" s="627">
        <v>100000</v>
      </c>
      <c r="L18" s="628">
        <f t="shared" si="0"/>
        <v>9275000</v>
      </c>
      <c r="M18" s="705"/>
      <c r="N18" s="707">
        <v>1000000</v>
      </c>
      <c r="O18" s="792">
        <f>'nowy 2024 -27,5mln'!O22</f>
        <v>1500000</v>
      </c>
      <c r="P18" s="623">
        <f t="shared" si="1"/>
        <v>2500000</v>
      </c>
      <c r="Q18" s="624">
        <f t="shared" si="2"/>
        <v>11775000</v>
      </c>
      <c r="R18" s="68"/>
      <c r="S18" s="629">
        <v>10775000</v>
      </c>
      <c r="T18" s="630">
        <f t="shared" si="3"/>
        <v>1000000</v>
      </c>
      <c r="U18" s="348">
        <v>2029</v>
      </c>
      <c r="V18" s="712" t="s">
        <v>40</v>
      </c>
      <c r="W18" s="714">
        <f t="shared" si="4"/>
        <v>100000</v>
      </c>
      <c r="X18" s="348">
        <v>2029</v>
      </c>
    </row>
    <row r="19" spans="1:24" ht="12.75">
      <c r="A19" s="690">
        <v>2030</v>
      </c>
      <c r="B19" s="626"/>
      <c r="C19" s="45"/>
      <c r="D19" s="43"/>
      <c r="E19" s="43">
        <v>1375000</v>
      </c>
      <c r="F19" s="44">
        <v>5323000</v>
      </c>
      <c r="G19" s="709">
        <v>500000</v>
      </c>
      <c r="H19" s="699">
        <v>1000000</v>
      </c>
      <c r="I19" s="700">
        <v>200000</v>
      </c>
      <c r="J19" s="627">
        <v>1000000</v>
      </c>
      <c r="K19" s="627">
        <v>100000</v>
      </c>
      <c r="L19" s="628">
        <f t="shared" si="0"/>
        <v>9498000</v>
      </c>
      <c r="M19" s="705"/>
      <c r="N19" s="707">
        <v>1000000</v>
      </c>
      <c r="O19" s="792">
        <f>'nowy 2024 -27,5mln'!O23</f>
        <v>1500000</v>
      </c>
      <c r="P19" s="623">
        <f t="shared" si="1"/>
        <v>2500000</v>
      </c>
      <c r="Q19" s="624">
        <f t="shared" si="2"/>
        <v>11998000</v>
      </c>
      <c r="R19" s="68"/>
      <c r="S19" s="629">
        <v>10998000</v>
      </c>
      <c r="T19" s="630">
        <f t="shared" si="3"/>
        <v>1000000</v>
      </c>
      <c r="U19" s="348">
        <v>2030</v>
      </c>
      <c r="V19" s="712" t="s">
        <v>41</v>
      </c>
      <c r="W19" s="714">
        <f t="shared" si="4"/>
        <v>100000</v>
      </c>
      <c r="X19" s="348">
        <v>2030</v>
      </c>
    </row>
    <row r="20" spans="1:24" ht="12.75">
      <c r="A20" s="690">
        <v>2031</v>
      </c>
      <c r="B20" s="626"/>
      <c r="C20" s="45"/>
      <c r="D20" s="43"/>
      <c r="E20" s="43">
        <v>0</v>
      </c>
      <c r="F20" s="44">
        <v>5700000</v>
      </c>
      <c r="G20" s="709">
        <v>652000</v>
      </c>
      <c r="H20" s="699">
        <v>1000000</v>
      </c>
      <c r="I20" s="700">
        <v>200000</v>
      </c>
      <c r="J20" s="627">
        <v>1000000</v>
      </c>
      <c r="K20" s="627">
        <v>100000</v>
      </c>
      <c r="L20" s="628">
        <f>SUM(B20:J20)+W20</f>
        <v>8652000</v>
      </c>
      <c r="M20" s="705"/>
      <c r="N20" s="707">
        <v>1000000</v>
      </c>
      <c r="O20" s="792">
        <f>'nowy 2024 -27,5mln'!O24</f>
        <v>1500000</v>
      </c>
      <c r="P20" s="623">
        <f t="shared" si="1"/>
        <v>2500000</v>
      </c>
      <c r="Q20" s="624">
        <f>SUM(D20:K20)+P20</f>
        <v>11152000</v>
      </c>
      <c r="R20" s="68"/>
      <c r="S20" s="629">
        <v>10152000</v>
      </c>
      <c r="T20" s="630">
        <f t="shared" si="3"/>
        <v>1000000</v>
      </c>
      <c r="U20" s="348">
        <v>2031</v>
      </c>
      <c r="W20" s="714">
        <f t="shared" si="4"/>
        <v>100000</v>
      </c>
      <c r="X20" s="348">
        <v>2031</v>
      </c>
    </row>
    <row r="21" spans="1:24" ht="12.75">
      <c r="A21" s="690">
        <v>2032</v>
      </c>
      <c r="B21" s="626"/>
      <c r="C21" s="45"/>
      <c r="D21" s="43"/>
      <c r="E21" s="43">
        <v>0</v>
      </c>
      <c r="F21" s="44">
        <v>1941000</v>
      </c>
      <c r="G21" s="709">
        <v>195000</v>
      </c>
      <c r="H21" s="699">
        <v>2000000</v>
      </c>
      <c r="I21" s="700">
        <v>200000</v>
      </c>
      <c r="J21" s="627">
        <v>1000000</v>
      </c>
      <c r="K21" s="627">
        <v>500000</v>
      </c>
      <c r="L21" s="628">
        <f t="shared" si="0"/>
        <v>5836000</v>
      </c>
      <c r="M21" s="705"/>
      <c r="N21" s="707">
        <v>1000000</v>
      </c>
      <c r="O21" s="792">
        <f>'nowy 2024 -27,5mln'!O25</f>
        <v>1000000</v>
      </c>
      <c r="P21" s="623">
        <f t="shared" si="1"/>
        <v>2000000</v>
      </c>
      <c r="Q21" s="624">
        <f t="shared" si="2"/>
        <v>7836000</v>
      </c>
      <c r="R21" s="68"/>
      <c r="S21" s="629">
        <v>7336000</v>
      </c>
      <c r="T21" s="630">
        <f>Q21-S21</f>
        <v>500000</v>
      </c>
      <c r="U21" s="348">
        <v>2032</v>
      </c>
      <c r="W21" s="714">
        <f t="shared" si="4"/>
        <v>500000</v>
      </c>
      <c r="X21" s="348">
        <v>2032</v>
      </c>
    </row>
    <row r="22" spans="1:24" ht="12.75">
      <c r="A22" s="690">
        <v>2033</v>
      </c>
      <c r="B22" s="626"/>
      <c r="C22" s="45"/>
      <c r="D22" s="43"/>
      <c r="E22" s="43">
        <v>0</v>
      </c>
      <c r="F22" s="44"/>
      <c r="G22" s="709">
        <v>195000</v>
      </c>
      <c r="H22" s="699">
        <v>2000000</v>
      </c>
      <c r="I22" s="700">
        <v>200000</v>
      </c>
      <c r="J22" s="627">
        <v>1000000</v>
      </c>
      <c r="K22" s="627">
        <v>1400000</v>
      </c>
      <c r="L22" s="628">
        <f>SUM(B22:J22)+W22</f>
        <v>4795000</v>
      </c>
      <c r="M22" s="705"/>
      <c r="N22" s="707">
        <v>1000000</v>
      </c>
      <c r="O22" s="792">
        <f>'nowy 2024 -27,5mln'!O26</f>
        <v>1000000</v>
      </c>
      <c r="P22" s="623">
        <f t="shared" si="1"/>
        <v>2000000</v>
      </c>
      <c r="Q22" s="624">
        <f t="shared" si="2"/>
        <v>6795000</v>
      </c>
      <c r="R22" s="68"/>
      <c r="S22" s="629">
        <v>6295000</v>
      </c>
      <c r="T22" s="630">
        <f>Q22-S22</f>
        <v>500000</v>
      </c>
      <c r="U22" s="348">
        <v>2033</v>
      </c>
      <c r="W22" s="714">
        <f t="shared" si="4"/>
        <v>1400000</v>
      </c>
      <c r="X22" s="348">
        <v>2033</v>
      </c>
    </row>
    <row r="23" spans="1:24" ht="12.75">
      <c r="A23" s="690">
        <v>2034</v>
      </c>
      <c r="B23" s="626"/>
      <c r="C23" s="45"/>
      <c r="D23" s="43"/>
      <c r="E23" s="43">
        <v>0</v>
      </c>
      <c r="F23" s="44"/>
      <c r="G23" s="709">
        <f>695000-500000</f>
        <v>195000</v>
      </c>
      <c r="H23" s="699">
        <v>2000000</v>
      </c>
      <c r="I23" s="700"/>
      <c r="J23" s="627">
        <v>1000000</v>
      </c>
      <c r="K23" s="789">
        <v>1400000</v>
      </c>
      <c r="L23" s="628">
        <f t="shared" si="0"/>
        <v>4135000</v>
      </c>
      <c r="M23" s="705"/>
      <c r="N23" s="707">
        <v>1000000</v>
      </c>
      <c r="O23" s="792">
        <f>'nowy 2024 -27,5mln'!O27</f>
        <v>1000000</v>
      </c>
      <c r="P23" s="623">
        <f t="shared" si="1"/>
        <v>2000000</v>
      </c>
      <c r="Q23" s="624">
        <f t="shared" si="2"/>
        <v>6595000</v>
      </c>
      <c r="R23" s="68"/>
      <c r="S23" s="629">
        <v>6095000</v>
      </c>
      <c r="T23" s="630">
        <f t="shared" si="3"/>
        <v>500000</v>
      </c>
      <c r="U23" s="348">
        <v>2034</v>
      </c>
      <c r="W23" s="714">
        <f>K23-460000</f>
        <v>940000</v>
      </c>
      <c r="X23" s="348">
        <v>2034</v>
      </c>
    </row>
    <row r="24" spans="1:23" ht="12.75">
      <c r="A24" s="690">
        <v>2035</v>
      </c>
      <c r="B24" s="626"/>
      <c r="C24" s="45"/>
      <c r="D24" s="43"/>
      <c r="E24" s="43">
        <v>0</v>
      </c>
      <c r="F24" s="44"/>
      <c r="G24" s="709">
        <f>695000-500000</f>
        <v>195000</v>
      </c>
      <c r="H24" s="699">
        <v>1000000</v>
      </c>
      <c r="I24" s="700"/>
      <c r="J24" s="627">
        <v>1000000</v>
      </c>
      <c r="K24" s="789">
        <v>1000000</v>
      </c>
      <c r="L24" s="628">
        <f t="shared" si="0"/>
        <v>2195000</v>
      </c>
      <c r="M24" s="705"/>
      <c r="N24" s="707">
        <v>1000000</v>
      </c>
      <c r="O24" s="792">
        <f>'nowy 2024 -27,5mln'!O28</f>
        <v>1000000</v>
      </c>
      <c r="P24" s="623">
        <f t="shared" si="1"/>
        <v>2000000</v>
      </c>
      <c r="Q24" s="624">
        <f t="shared" si="2"/>
        <v>5195000</v>
      </c>
      <c r="R24" s="68"/>
      <c r="S24" s="629">
        <v>4695000</v>
      </c>
      <c r="T24" s="630">
        <f t="shared" si="3"/>
        <v>500000</v>
      </c>
      <c r="U24" s="348">
        <v>2035</v>
      </c>
      <c r="W24" s="713"/>
    </row>
    <row r="25" spans="1:23" ht="12.75">
      <c r="A25" s="690">
        <v>2036</v>
      </c>
      <c r="B25" s="626"/>
      <c r="C25" s="45"/>
      <c r="D25" s="43"/>
      <c r="E25" s="43">
        <v>0</v>
      </c>
      <c r="F25" s="44"/>
      <c r="G25" s="709">
        <f>1695000-1500000</f>
        <v>195000</v>
      </c>
      <c r="H25" s="699">
        <v>1000000</v>
      </c>
      <c r="I25" s="700"/>
      <c r="J25" s="627">
        <v>1000000</v>
      </c>
      <c r="K25" s="789">
        <v>1150000</v>
      </c>
      <c r="L25" s="628">
        <f t="shared" si="0"/>
        <v>2195000</v>
      </c>
      <c r="M25" s="705"/>
      <c r="N25" s="707">
        <v>1000000</v>
      </c>
      <c r="O25" s="792">
        <f>'nowy 2024 -27,5mln'!O29</f>
        <v>1000000</v>
      </c>
      <c r="P25" s="623">
        <f t="shared" si="1"/>
        <v>2000000</v>
      </c>
      <c r="Q25" s="624">
        <f t="shared" si="2"/>
        <v>5345000</v>
      </c>
      <c r="R25" s="68"/>
      <c r="S25" s="629">
        <v>4845000</v>
      </c>
      <c r="T25" s="630">
        <f t="shared" si="3"/>
        <v>500000</v>
      </c>
      <c r="U25" s="348">
        <v>2036</v>
      </c>
      <c r="W25" s="713"/>
    </row>
    <row r="26" spans="1:23" ht="12.75">
      <c r="A26" s="690">
        <v>2037</v>
      </c>
      <c r="B26" s="626"/>
      <c r="C26" s="45"/>
      <c r="D26" s="43"/>
      <c r="E26" s="43">
        <v>0</v>
      </c>
      <c r="F26" s="44"/>
      <c r="G26" s="709">
        <f>770000-500000</f>
        <v>270000</v>
      </c>
      <c r="H26" s="699">
        <v>1000000</v>
      </c>
      <c r="I26" s="700"/>
      <c r="J26" s="627">
        <v>1000000</v>
      </c>
      <c r="K26" s="789">
        <v>3000000</v>
      </c>
      <c r="L26" s="628">
        <f t="shared" si="0"/>
        <v>2270000</v>
      </c>
      <c r="M26" s="705"/>
      <c r="N26" s="707">
        <v>1000000</v>
      </c>
      <c r="O26" s="792">
        <f>'nowy 2024 -27,5mln'!O30</f>
        <v>1000000</v>
      </c>
      <c r="P26" s="623">
        <f t="shared" si="1"/>
        <v>2000000</v>
      </c>
      <c r="Q26" s="624">
        <f t="shared" si="2"/>
        <v>7270000</v>
      </c>
      <c r="R26" s="68"/>
      <c r="S26" s="629">
        <v>6770000</v>
      </c>
      <c r="T26" s="630">
        <f t="shared" si="3"/>
        <v>500000</v>
      </c>
      <c r="U26" s="348">
        <v>2037</v>
      </c>
      <c r="W26" s="715"/>
    </row>
    <row r="27" spans="1:23" ht="12.75">
      <c r="A27" s="690">
        <v>2038</v>
      </c>
      <c r="B27" s="626"/>
      <c r="C27" s="45"/>
      <c r="D27" s="43"/>
      <c r="E27" s="43">
        <v>0</v>
      </c>
      <c r="F27" s="44"/>
      <c r="G27" s="709">
        <f>770000-500000</f>
        <v>270000</v>
      </c>
      <c r="H27" s="699">
        <v>1000000</v>
      </c>
      <c r="I27" s="700"/>
      <c r="J27" s="627">
        <v>1000000</v>
      </c>
      <c r="K27" s="789">
        <v>2000000</v>
      </c>
      <c r="L27" s="628">
        <f t="shared" si="0"/>
        <v>2270000</v>
      </c>
      <c r="M27" s="705"/>
      <c r="N27" s="707">
        <v>1000000</v>
      </c>
      <c r="O27" s="792">
        <f>'nowy 2024 -27,5mln'!O31</f>
        <v>1000000</v>
      </c>
      <c r="P27" s="623">
        <f t="shared" si="1"/>
        <v>2000000</v>
      </c>
      <c r="Q27" s="624">
        <f t="shared" si="2"/>
        <v>6270000</v>
      </c>
      <c r="R27" s="68"/>
      <c r="S27" s="629">
        <v>5770000</v>
      </c>
      <c r="T27" s="630">
        <f t="shared" si="3"/>
        <v>500000</v>
      </c>
      <c r="U27" s="348">
        <v>2038</v>
      </c>
      <c r="W27" s="715"/>
    </row>
    <row r="28" spans="1:23" ht="12.75">
      <c r="A28" s="690">
        <v>2039</v>
      </c>
      <c r="B28" s="626"/>
      <c r="C28" s="45"/>
      <c r="D28" s="43"/>
      <c r="E28" s="43">
        <v>0</v>
      </c>
      <c r="F28" s="44"/>
      <c r="G28" s="709">
        <f>770000-700000</f>
        <v>70000</v>
      </c>
      <c r="H28" s="699">
        <v>1000000</v>
      </c>
      <c r="I28" s="700"/>
      <c r="J28" s="627">
        <v>1000000</v>
      </c>
      <c r="K28" s="789">
        <v>2000000</v>
      </c>
      <c r="L28" s="628">
        <f t="shared" si="0"/>
        <v>2070000</v>
      </c>
      <c r="M28" s="705"/>
      <c r="N28" s="707">
        <v>1000000</v>
      </c>
      <c r="O28" s="792">
        <f>'nowy 2024 -27,5mln'!O32</f>
        <v>1000000</v>
      </c>
      <c r="P28" s="623">
        <f t="shared" si="1"/>
        <v>2000000</v>
      </c>
      <c r="Q28" s="624">
        <f t="shared" si="2"/>
        <v>6070000</v>
      </c>
      <c r="R28" s="68"/>
      <c r="S28" s="629">
        <v>5570000</v>
      </c>
      <c r="T28" s="630">
        <f t="shared" si="3"/>
        <v>500000</v>
      </c>
      <c r="U28" s="348">
        <v>2039</v>
      </c>
      <c r="W28" s="715"/>
    </row>
    <row r="29" spans="1:23" ht="12.75">
      <c r="A29" s="690">
        <v>2040</v>
      </c>
      <c r="B29" s="626"/>
      <c r="C29" s="45"/>
      <c r="D29" s="43"/>
      <c r="E29" s="43">
        <v>0</v>
      </c>
      <c r="F29" s="44"/>
      <c r="G29" s="709">
        <f>770000-700000</f>
        <v>70000</v>
      </c>
      <c r="H29" s="699">
        <v>1000000</v>
      </c>
      <c r="I29" s="700"/>
      <c r="J29" s="627">
        <v>1000000</v>
      </c>
      <c r="K29" s="789">
        <v>2000000</v>
      </c>
      <c r="L29" s="628">
        <f t="shared" si="0"/>
        <v>2070000</v>
      </c>
      <c r="M29" s="705"/>
      <c r="N29" s="707">
        <v>1000000</v>
      </c>
      <c r="O29" s="792">
        <f>'nowy 2024 -27,5mln'!O33</f>
        <v>1000000</v>
      </c>
      <c r="P29" s="623">
        <f t="shared" si="1"/>
        <v>2000000</v>
      </c>
      <c r="Q29" s="624">
        <f t="shared" si="2"/>
        <v>6070000</v>
      </c>
      <c r="R29" s="68"/>
      <c r="S29" s="629">
        <v>5070000</v>
      </c>
      <c r="T29" s="630">
        <f t="shared" si="3"/>
        <v>1000000</v>
      </c>
      <c r="U29" s="348">
        <v>2040</v>
      </c>
      <c r="W29" s="713"/>
    </row>
    <row r="30" spans="1:23" ht="12.75">
      <c r="A30" s="690">
        <v>2041</v>
      </c>
      <c r="B30" s="631"/>
      <c r="C30" s="45"/>
      <c r="D30" s="43"/>
      <c r="E30" s="43"/>
      <c r="F30" s="44"/>
      <c r="G30" s="709">
        <f>647000-600000</f>
        <v>47000</v>
      </c>
      <c r="H30" s="701">
        <f>1100000-306493.82-50000-43506.18</f>
        <v>699999.9999999999</v>
      </c>
      <c r="I30" s="700"/>
      <c r="J30" s="627"/>
      <c r="K30" s="789">
        <v>2500000</v>
      </c>
      <c r="L30" s="628">
        <f t="shared" si="0"/>
        <v>746999.9999999999</v>
      </c>
      <c r="M30" s="705"/>
      <c r="N30" s="707">
        <v>1000000</v>
      </c>
      <c r="O30" s="792">
        <f>'nowy 2024 -27,5mln'!O34</f>
        <v>1000000</v>
      </c>
      <c r="P30" s="623">
        <f t="shared" si="1"/>
        <v>2000000</v>
      </c>
      <c r="Q30" s="624">
        <f t="shared" si="2"/>
        <v>5247000</v>
      </c>
      <c r="R30" s="51"/>
      <c r="S30" s="629">
        <v>4247000</v>
      </c>
      <c r="T30" s="630">
        <f t="shared" si="3"/>
        <v>1000000</v>
      </c>
      <c r="U30" s="348">
        <v>2041</v>
      </c>
      <c r="W30" s="713"/>
    </row>
    <row r="31" spans="1:23" ht="12.75">
      <c r="A31" s="690">
        <v>2042</v>
      </c>
      <c r="B31" s="367"/>
      <c r="C31" s="45"/>
      <c r="D31" s="43"/>
      <c r="E31" s="43"/>
      <c r="F31" s="44"/>
      <c r="G31" s="709"/>
      <c r="H31" s="701"/>
      <c r="I31" s="700"/>
      <c r="J31" s="627">
        <f>'2022 - 18 mln'!O38</f>
        <v>0</v>
      </c>
      <c r="K31" s="627">
        <v>0</v>
      </c>
      <c r="L31" s="628">
        <f t="shared" si="0"/>
        <v>0</v>
      </c>
      <c r="M31" s="705"/>
      <c r="N31" s="707">
        <v>1000000</v>
      </c>
      <c r="O31" s="792">
        <f>'nowy 2024 -27,5mln'!O35</f>
        <v>1000000</v>
      </c>
      <c r="P31" s="623">
        <f t="shared" si="1"/>
        <v>2000000</v>
      </c>
      <c r="Q31" s="624">
        <f t="shared" si="2"/>
        <v>2000000</v>
      </c>
      <c r="R31" s="51"/>
      <c r="S31" s="629">
        <v>1000000</v>
      </c>
      <c r="T31" s="630">
        <f t="shared" si="3"/>
        <v>1000000</v>
      </c>
      <c r="U31" s="348">
        <v>2042</v>
      </c>
      <c r="W31" s="713"/>
    </row>
    <row r="32" spans="1:23" ht="12.75">
      <c r="A32" s="690">
        <v>2043</v>
      </c>
      <c r="B32" s="367"/>
      <c r="C32" s="45"/>
      <c r="D32" s="43"/>
      <c r="E32" s="43"/>
      <c r="F32" s="44"/>
      <c r="G32" s="351"/>
      <c r="H32" s="701"/>
      <c r="I32" s="700"/>
      <c r="J32" s="627"/>
      <c r="K32" s="627">
        <v>0</v>
      </c>
      <c r="L32" s="628">
        <f>SUM(B32:J32)+W32</f>
        <v>0</v>
      </c>
      <c r="M32" s="705"/>
      <c r="N32" s="707">
        <v>2000000</v>
      </c>
      <c r="O32" s="792">
        <f>'nowy 2024 -27,5mln'!O36</f>
        <v>2000000</v>
      </c>
      <c r="P32" s="623">
        <f t="shared" si="1"/>
        <v>4000000</v>
      </c>
      <c r="Q32" s="624">
        <f t="shared" si="2"/>
        <v>4000000</v>
      </c>
      <c r="R32" s="51"/>
      <c r="S32" s="629">
        <v>2000000</v>
      </c>
      <c r="T32" s="630">
        <f t="shared" si="3"/>
        <v>2000000</v>
      </c>
      <c r="U32" s="348">
        <v>2043</v>
      </c>
      <c r="W32" s="713"/>
    </row>
    <row r="33" spans="1:23" ht="12.75">
      <c r="A33" s="690">
        <v>2044</v>
      </c>
      <c r="B33" s="367"/>
      <c r="C33" s="45"/>
      <c r="D33" s="43"/>
      <c r="E33" s="43"/>
      <c r="F33" s="44"/>
      <c r="G33" s="351"/>
      <c r="H33" s="701"/>
      <c r="I33" s="700"/>
      <c r="J33" s="627">
        <f>'2022 - 18 mln'!O40</f>
        <v>0</v>
      </c>
      <c r="K33" s="627">
        <v>0</v>
      </c>
      <c r="L33" s="628">
        <f t="shared" si="0"/>
        <v>0</v>
      </c>
      <c r="M33" s="705"/>
      <c r="N33" s="707"/>
      <c r="O33" s="792">
        <f>'nowy 2024 -27,5mln'!O37</f>
        <v>5000000</v>
      </c>
      <c r="P33" s="623">
        <f t="shared" si="1"/>
        <v>5000000</v>
      </c>
      <c r="Q33" s="624">
        <f t="shared" si="2"/>
        <v>5000000</v>
      </c>
      <c r="R33" s="51"/>
      <c r="S33" s="629"/>
      <c r="T33" s="630">
        <f t="shared" si="3"/>
        <v>5000000</v>
      </c>
      <c r="U33" s="348">
        <v>2044</v>
      </c>
      <c r="W33" s="713"/>
    </row>
    <row r="34" spans="1:23" ht="13.5" thickBot="1">
      <c r="A34" s="690">
        <v>2045</v>
      </c>
      <c r="B34" s="367"/>
      <c r="C34" s="369"/>
      <c r="D34" s="75"/>
      <c r="E34" s="75"/>
      <c r="F34" s="76"/>
      <c r="G34" s="725"/>
      <c r="H34" s="726"/>
      <c r="I34" s="727"/>
      <c r="J34" s="728">
        <f>'2022 - 18 mln'!O41</f>
        <v>0</v>
      </c>
      <c r="K34" s="728">
        <v>0</v>
      </c>
      <c r="L34" s="729">
        <f t="shared" si="0"/>
        <v>0</v>
      </c>
      <c r="M34" s="708">
        <f>J34+L34</f>
        <v>0</v>
      </c>
      <c r="N34" s="730"/>
      <c r="O34" s="792"/>
      <c r="P34" s="623">
        <f t="shared" si="1"/>
        <v>0</v>
      </c>
      <c r="Q34" s="731">
        <f t="shared" si="2"/>
        <v>0</v>
      </c>
      <c r="R34" s="732"/>
      <c r="S34" s="733"/>
      <c r="T34" s="734">
        <f t="shared" si="3"/>
        <v>0</v>
      </c>
      <c r="U34" s="348">
        <v>2045</v>
      </c>
      <c r="W34" s="713"/>
    </row>
    <row r="35" spans="1:23" ht="13.5" thickBot="1">
      <c r="A35" s="691" t="s">
        <v>42</v>
      </c>
      <c r="B35" s="381">
        <f>SUM(B11:B23)</f>
        <v>0</v>
      </c>
      <c r="C35" s="89">
        <f aca="true" t="shared" si="5" ref="C35:L35">SUM(C12:C30)</f>
        <v>0</v>
      </c>
      <c r="D35" s="735">
        <f t="shared" si="5"/>
        <v>10000000</v>
      </c>
      <c r="E35" s="736">
        <f t="shared" si="5"/>
        <v>12375000</v>
      </c>
      <c r="F35" s="736">
        <f t="shared" si="5"/>
        <v>25039000</v>
      </c>
      <c r="G35" s="736">
        <f t="shared" si="5"/>
        <v>14964000</v>
      </c>
      <c r="H35" s="736">
        <f t="shared" si="5"/>
        <v>16850000</v>
      </c>
      <c r="I35" s="736">
        <f t="shared" si="5"/>
        <v>3500000</v>
      </c>
      <c r="J35" s="736">
        <f t="shared" si="5"/>
        <v>18000000</v>
      </c>
      <c r="K35" s="736">
        <v>20000000</v>
      </c>
      <c r="L35" s="737">
        <f t="shared" si="5"/>
        <v>106618000</v>
      </c>
      <c r="M35" s="724">
        <f>SUM(M12:M34)</f>
        <v>2000000</v>
      </c>
      <c r="N35" s="738">
        <f>SUM(N12:N34)</f>
        <v>20000000</v>
      </c>
      <c r="O35" s="738">
        <f>'nowy 2024 -27,5mln'!O38</f>
        <v>27500000</v>
      </c>
      <c r="P35" s="739">
        <f>SUM(P12:P34)</f>
        <v>49500000</v>
      </c>
      <c r="Q35" s="736">
        <f>SUM(Q12:Q34)</f>
        <v>170228000</v>
      </c>
      <c r="R35" s="740"/>
      <c r="S35" s="736">
        <f>SUM(S12:S34)</f>
        <v>150728000</v>
      </c>
      <c r="T35" s="741">
        <f>SUM(T12:T34)</f>
        <v>19500000</v>
      </c>
      <c r="U35" s="386" t="s">
        <v>42</v>
      </c>
      <c r="W35" s="716">
        <f>SUM(W13:W23)</f>
        <v>5890000</v>
      </c>
    </row>
    <row r="36" spans="1:15" ht="13.5" thickBo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1:21" ht="45.75" thickBot="1">
      <c r="A37" s="685" t="s">
        <v>48</v>
      </c>
      <c r="B37" s="632" t="str">
        <f>B9</f>
        <v>Oleśnica/12</v>
      </c>
      <c r="C37" s="632" t="s">
        <v>15</v>
      </c>
      <c r="D37" s="680" t="s">
        <v>49</v>
      </c>
      <c r="E37" s="680" t="s">
        <v>50</v>
      </c>
      <c r="F37" s="681" t="s">
        <v>51</v>
      </c>
      <c r="G37" s="633" t="s">
        <v>52</v>
      </c>
      <c r="H37" s="634" t="s">
        <v>213</v>
      </c>
      <c r="I37" s="603" t="s">
        <v>214</v>
      </c>
      <c r="J37" s="390" t="s">
        <v>216</v>
      </c>
      <c r="K37" s="334" t="s">
        <v>92</v>
      </c>
      <c r="L37" s="765" t="s">
        <v>53</v>
      </c>
      <c r="M37" s="769" t="s">
        <v>215</v>
      </c>
      <c r="N37" s="774">
        <v>2024</v>
      </c>
      <c r="O37" s="799" t="s">
        <v>242</v>
      </c>
      <c r="P37" s="794" t="s">
        <v>95</v>
      </c>
      <c r="Q37" s="778" t="s">
        <v>79</v>
      </c>
      <c r="R37" s="683"/>
      <c r="S37" s="682" t="s">
        <v>224</v>
      </c>
      <c r="T37" s="635" t="s">
        <v>97</v>
      </c>
      <c r="U37"/>
    </row>
    <row r="38" spans="1:21" ht="12.75" hidden="1">
      <c r="A38" s="686">
        <v>2020</v>
      </c>
      <c r="B38" s="636">
        <v>20294.43</v>
      </c>
      <c r="C38" s="636">
        <v>33341.9</v>
      </c>
      <c r="D38" s="636">
        <v>213630</v>
      </c>
      <c r="E38" s="636">
        <v>419052.8</v>
      </c>
      <c r="F38" s="637">
        <v>635990.6</v>
      </c>
      <c r="G38" s="638"/>
      <c r="H38" s="639"/>
      <c r="I38" s="199"/>
      <c r="J38" s="640"/>
      <c r="K38" s="695"/>
      <c r="L38" s="766">
        <f>SUM(B38:G38)</f>
        <v>1322309.73</v>
      </c>
      <c r="M38" s="770"/>
      <c r="N38" s="775"/>
      <c r="O38" s="799"/>
      <c r="P38" s="795"/>
      <c r="Q38" s="779"/>
      <c r="R38" s="199"/>
      <c r="S38" s="199"/>
      <c r="T38" s="199"/>
      <c r="U38" s="200"/>
    </row>
    <row r="39" spans="1:21" ht="12.75" hidden="1">
      <c r="A39" s="684">
        <f aca="true" t="shared" si="6" ref="A39:A44">A11</f>
        <v>2021</v>
      </c>
      <c r="B39" s="133"/>
      <c r="C39" s="133">
        <v>27720</v>
      </c>
      <c r="D39" s="133">
        <v>159000</v>
      </c>
      <c r="E39" s="133">
        <v>258637.5</v>
      </c>
      <c r="F39" s="641">
        <v>473237.1</v>
      </c>
      <c r="G39" s="642">
        <v>285682.62</v>
      </c>
      <c r="H39" s="643">
        <v>15214.630136986301</v>
      </c>
      <c r="I39" s="60"/>
      <c r="J39" s="644"/>
      <c r="K39" s="696"/>
      <c r="L39" s="767">
        <f>SUM(B39:G39)</f>
        <v>1204277.22</v>
      </c>
      <c r="M39" s="771"/>
      <c r="N39" s="776"/>
      <c r="O39" s="800"/>
      <c r="P39" s="796" t="e">
        <f>J39+#REF!+#REF!</f>
        <v>#REF!</v>
      </c>
      <c r="Q39" s="401" t="e">
        <f aca="true" t="shared" si="7" ref="Q39:Q62">L39+P39</f>
        <v>#REF!</v>
      </c>
      <c r="R39" s="203"/>
      <c r="S39" s="204">
        <v>2050000</v>
      </c>
      <c r="T39" s="205"/>
      <c r="U39" s="58">
        <v>2021</v>
      </c>
    </row>
    <row r="40" spans="1:21" ht="12.75">
      <c r="A40" s="684">
        <f t="shared" si="6"/>
        <v>2023</v>
      </c>
      <c r="B40" s="133"/>
      <c r="C40" s="136"/>
      <c r="D40" s="787">
        <f>'[2]OBLIGACJE PKO 17'!$F$13</f>
        <v>820000</v>
      </c>
      <c r="E40" s="787">
        <f>'[2]OBLIGACJE PKO 18'!$F$12</f>
        <v>1100000</v>
      </c>
      <c r="F40" s="787">
        <f>'[2]OBLIGACJE PKO 2019'!$F$12</f>
        <v>2167500</v>
      </c>
      <c r="G40" s="787">
        <f>'bgk 15 mln'!N20</f>
        <v>937998.0684931508</v>
      </c>
      <c r="H40" s="787">
        <f>'16 900'!P42</f>
        <v>1294620.355068493</v>
      </c>
      <c r="I40" s="787">
        <f>'2022 3,5 mln'!O57</f>
        <v>181085.48657534248</v>
      </c>
      <c r="J40" s="787">
        <f>'2022 - 18 mln'!N19</f>
        <v>1268921.367671233</v>
      </c>
      <c r="K40" s="788">
        <f>'Kredyt 20 mln na 2023'!N19</f>
        <v>250252.19999999998</v>
      </c>
      <c r="L40" s="767">
        <f>SUM(B40:K40)</f>
        <v>8020377.477808219</v>
      </c>
      <c r="M40" s="772"/>
      <c r="N40" s="763"/>
      <c r="O40" s="800"/>
      <c r="P40" s="796">
        <f>M40+N40</f>
        <v>0</v>
      </c>
      <c r="Q40" s="646">
        <f>L40+P40</f>
        <v>8020377.477808219</v>
      </c>
      <c r="R40" s="203"/>
      <c r="S40" s="204">
        <v>8150000</v>
      </c>
      <c r="T40" s="205">
        <f>S40-Q40</f>
        <v>129622.52219178062</v>
      </c>
      <c r="U40" s="684">
        <v>2023</v>
      </c>
    </row>
    <row r="41" spans="1:21" ht="12.75">
      <c r="A41" s="684">
        <f t="shared" si="6"/>
        <v>2024</v>
      </c>
      <c r="B41" s="133"/>
      <c r="C41" s="133"/>
      <c r="D41" s="645">
        <f>'[3]OBLIGACJE PKO 17'!$F$14</f>
        <v>632283.5616438356</v>
      </c>
      <c r="E41" s="645">
        <f>'[3]OBLIGACJE PKO 18'!$F$13</f>
        <v>730799.9999999999</v>
      </c>
      <c r="F41" s="645">
        <f>'[3]OBLIGACJE PKO 2019'!$F$13</f>
        <v>1692636.4</v>
      </c>
      <c r="G41" s="645">
        <f>'bgk 15 mln'!N21</f>
        <v>384868.40876712336</v>
      </c>
      <c r="H41" s="645">
        <f>'16 900'!P43</f>
        <v>1121298.442622951</v>
      </c>
      <c r="I41" s="645">
        <f>'2022 3,5 mln'!O58</f>
        <v>124597.9234972678</v>
      </c>
      <c r="J41" s="645">
        <f>'2022 - 18 mln'!N20</f>
        <v>1068494.3150684931</v>
      </c>
      <c r="K41" s="763">
        <f>'Kredyt 20 mln na 2023'!N20</f>
        <v>1284302.7705479453</v>
      </c>
      <c r="L41" s="767">
        <f aca="true" t="shared" si="8" ref="L41:L48">SUM(B41:K41)</f>
        <v>7039281.822147615</v>
      </c>
      <c r="M41" s="772">
        <f>'2023-2 mln'!N20</f>
        <v>108104.65753424657</v>
      </c>
      <c r="N41" s="763">
        <f>'2024-20 mln'!N20</f>
        <v>0</v>
      </c>
      <c r="O41" s="800"/>
      <c r="P41" s="796">
        <f>M41+N41+O41</f>
        <v>108104.65753424657</v>
      </c>
      <c r="Q41" s="401">
        <f>L41+P41</f>
        <v>7147386.479681862</v>
      </c>
      <c r="R41" s="203"/>
      <c r="S41" s="204">
        <v>8200000</v>
      </c>
      <c r="T41" s="205">
        <f>S41-Q41</f>
        <v>1052613.5203181384</v>
      </c>
      <c r="U41" s="684">
        <v>2024</v>
      </c>
    </row>
    <row r="42" spans="1:21" ht="12.75">
      <c r="A42" s="684">
        <f t="shared" si="6"/>
        <v>2025</v>
      </c>
      <c r="B42" s="133"/>
      <c r="C42" s="133"/>
      <c r="D42" s="645">
        <f>'[3]OBLIGACJE PKO 17'!$F$15</f>
        <v>470783.5616438356</v>
      </c>
      <c r="E42" s="645">
        <f>'[3]OBLIGACJE PKO 18'!$F$14</f>
        <v>600299.9999999999</v>
      </c>
      <c r="F42" s="645">
        <f>'[3]OBLIGACJE PKO 2019'!$F$14</f>
        <v>1692636.4</v>
      </c>
      <c r="G42" s="645">
        <f>'bgk 15 mln'!N22</f>
        <v>290206.2</v>
      </c>
      <c r="H42" s="645">
        <f>'16 900'!P44</f>
        <v>1111167.4794520547</v>
      </c>
      <c r="I42" s="645">
        <f>'2022 3,5 mln'!O59</f>
        <v>111089.9726027397</v>
      </c>
      <c r="J42" s="645">
        <f>'2022 - 18 mln'!N21</f>
        <v>1001408.8356164384</v>
      </c>
      <c r="K42" s="763">
        <f>'Kredyt 20 mln na 2023'!N21</f>
        <v>1276375.883561644</v>
      </c>
      <c r="L42" s="767">
        <f t="shared" si="8"/>
        <v>6553968.332876713</v>
      </c>
      <c r="M42" s="772">
        <f>'2023-2 mln'!N21</f>
        <v>41340.82191780822</v>
      </c>
      <c r="N42" s="763">
        <f>'2024-20 mln'!N21</f>
        <v>1302940.8219178081</v>
      </c>
      <c r="O42" s="800">
        <f>'nowy 2024 -27,5mln'!N18</f>
        <v>1586672.2602739725</v>
      </c>
      <c r="P42" s="796">
        <f aca="true" t="shared" si="9" ref="P42:P63">M42+N42+O42</f>
        <v>2930953.904109589</v>
      </c>
      <c r="Q42" s="401">
        <f>L42+P42</f>
        <v>9484922.236986302</v>
      </c>
      <c r="R42" s="203"/>
      <c r="S42" s="204">
        <v>9100000</v>
      </c>
      <c r="T42" s="205">
        <f>S42-Q42</f>
        <v>-384922.23698630184</v>
      </c>
      <c r="U42" s="684">
        <v>2025</v>
      </c>
    </row>
    <row r="43" spans="1:21" ht="12.75">
      <c r="A43" s="684">
        <f t="shared" si="6"/>
        <v>2026</v>
      </c>
      <c r="B43" s="133"/>
      <c r="C43" s="133"/>
      <c r="D43" s="645">
        <f>'[3]OBLIGACJE PKO 17'!$F$16</f>
        <v>309283.5616438356</v>
      </c>
      <c r="E43" s="645">
        <f>'[3]OBLIGACJE PKO 18'!$F$15</f>
        <v>469799.99999999994</v>
      </c>
      <c r="F43" s="645">
        <f>'[3]OBLIGACJE PKO 2019'!$F$15</f>
        <v>1692636.4</v>
      </c>
      <c r="G43" s="645">
        <f>'bgk 15 mln'!N23</f>
        <v>290206.2</v>
      </c>
      <c r="H43" s="645">
        <f>'16 900'!P45</f>
        <v>1098499.97260274</v>
      </c>
      <c r="I43" s="645">
        <f>'2022 3,5 mln'!O60</f>
        <v>97609.97260273974</v>
      </c>
      <c r="J43" s="645">
        <f>'2022 - 18 mln'!N22</f>
        <v>937308.8356164384</v>
      </c>
      <c r="K43" s="763">
        <f>'Kredyt 20 mln na 2023'!N22</f>
        <v>1236098.2534246575</v>
      </c>
      <c r="L43" s="767">
        <f t="shared" si="8"/>
        <v>6131443.195890412</v>
      </c>
      <c r="M43" s="772">
        <f>'2023-2 mln'!N22</f>
        <v>0</v>
      </c>
      <c r="N43" s="763">
        <f>'2024-20 mln'!N22</f>
        <v>1236540.8219178081</v>
      </c>
      <c r="O43" s="800">
        <f>'nowy 2024 -27,5mln'!N19</f>
        <v>1528172.2602739725</v>
      </c>
      <c r="P43" s="796">
        <f t="shared" si="9"/>
        <v>2764713.0821917807</v>
      </c>
      <c r="Q43" s="401">
        <f t="shared" si="7"/>
        <v>8896156.278082192</v>
      </c>
      <c r="R43" s="203"/>
      <c r="S43" s="204">
        <v>8300000</v>
      </c>
      <c r="T43" s="205">
        <f>S43-Q43</f>
        <v>-596156.278082192</v>
      </c>
      <c r="U43" s="684">
        <v>2026</v>
      </c>
    </row>
    <row r="44" spans="1:21" ht="12.75">
      <c r="A44" s="684">
        <f t="shared" si="6"/>
        <v>2027</v>
      </c>
      <c r="B44" s="133"/>
      <c r="C44" s="133"/>
      <c r="D44" s="645">
        <f>'[3]OBLIGACJE PKO 17'!$F$17</f>
        <v>147783.56164383562</v>
      </c>
      <c r="E44" s="645">
        <f>'[3]OBLIGACJE PKO 18'!$F$16</f>
        <v>330599.99999999994</v>
      </c>
      <c r="F44" s="645">
        <f>'[3]OBLIGACJE PKO 2019'!$F$16</f>
        <v>1565886.4</v>
      </c>
      <c r="G44" s="645">
        <f>'bgk 15 mln'!N24</f>
        <v>290206.2</v>
      </c>
      <c r="H44" s="645">
        <f>'16 900'!P46</f>
        <v>1085019.9726027397</v>
      </c>
      <c r="I44" s="645">
        <f>'2022 3,5 mln'!O61</f>
        <v>84129.97260273974</v>
      </c>
      <c r="J44" s="645">
        <f>'2022 - 18 mln'!N23</f>
        <v>873208.8356164384</v>
      </c>
      <c r="K44" s="763">
        <f>'Kredyt 20 mln na 2023'!N23</f>
        <v>1152043.8356164382</v>
      </c>
      <c r="L44" s="767">
        <f t="shared" si="8"/>
        <v>5528878.778082192</v>
      </c>
      <c r="M44" s="772">
        <f>'2023-2 mln'!N23</f>
        <v>0</v>
      </c>
      <c r="N44" s="763">
        <f>'2024-20 mln'!N23</f>
        <v>1170140.8219178081</v>
      </c>
      <c r="O44" s="800">
        <f>'nowy 2024 -27,5mln'!N20</f>
        <v>1458633.3904109588</v>
      </c>
      <c r="P44" s="796">
        <f t="shared" si="9"/>
        <v>2628774.212328767</v>
      </c>
      <c r="Q44" s="401">
        <f>L44+P44</f>
        <v>8157652.990410959</v>
      </c>
      <c r="R44" s="203"/>
      <c r="S44" s="204">
        <v>7400000</v>
      </c>
      <c r="T44" s="205">
        <f aca="true" t="shared" si="10" ref="T44:T62">S44-Q44</f>
        <v>-757652.9904109593</v>
      </c>
      <c r="U44" s="684">
        <v>2027</v>
      </c>
    </row>
    <row r="45" spans="1:21" ht="12.75">
      <c r="A45" s="684">
        <v>2028</v>
      </c>
      <c r="B45" s="133"/>
      <c r="C45" s="133"/>
      <c r="D45" s="645"/>
      <c r="E45" s="645">
        <f>'[3]OBLIGACJE PKO 18'!$F$17</f>
        <v>191399.99999999997</v>
      </c>
      <c r="F45" s="645">
        <f>'[3]OBLIGACJE PKO 2019'!$F$17</f>
        <v>1221126.4</v>
      </c>
      <c r="G45" s="645">
        <f>'bgk 15 mln'!N25</f>
        <v>276792.278630137</v>
      </c>
      <c r="H45" s="645">
        <f>'16 900'!P47</f>
        <v>1066831.2054794522</v>
      </c>
      <c r="I45" s="645">
        <f>'2022 3,5 mln'!O62</f>
        <v>70871.56164383562</v>
      </c>
      <c r="J45" s="645">
        <f>'2022 - 18 mln'!N24</f>
        <v>811391.8493150685</v>
      </c>
      <c r="K45" s="763">
        <f>'Kredyt 20 mln na 2023'!N24</f>
        <v>1112762.8287671232</v>
      </c>
      <c r="L45" s="767">
        <f t="shared" si="8"/>
        <v>4751176.123835616</v>
      </c>
      <c r="M45" s="772">
        <f>'2023-2 mln'!N24</f>
        <v>0</v>
      </c>
      <c r="N45" s="763">
        <f>'2024-20 mln'!N24</f>
        <v>1103809.2896174863</v>
      </c>
      <c r="O45" s="800">
        <f>'nowy 2024 -27,5mln'!N21</f>
        <v>1370973.8729508198</v>
      </c>
      <c r="P45" s="796">
        <f t="shared" si="9"/>
        <v>2474783.162568306</v>
      </c>
      <c r="Q45" s="401">
        <f>L45+P45</f>
        <v>7225959.286403922</v>
      </c>
      <c r="R45" s="203"/>
      <c r="S45" s="204">
        <v>6200000</v>
      </c>
      <c r="T45" s="205">
        <f t="shared" si="10"/>
        <v>-1025959.2864039224</v>
      </c>
      <c r="U45" s="684">
        <v>2028</v>
      </c>
    </row>
    <row r="46" spans="1:21" ht="12.75">
      <c r="A46" s="684">
        <v>2029</v>
      </c>
      <c r="B46" s="133"/>
      <c r="C46" s="133"/>
      <c r="D46" s="645"/>
      <c r="E46" s="645">
        <f>'[3]OBLIGACJE PKO 18'!$F$18</f>
        <v>95699.99999999999</v>
      </c>
      <c r="F46" s="645">
        <f>'[3]OBLIGACJE PKO 2019'!$F$18</f>
        <v>876366.4</v>
      </c>
      <c r="G46" s="645">
        <f>'bgk 15 mln'!N26</f>
        <v>238347.19315068494</v>
      </c>
      <c r="H46" s="645">
        <f>'16 900'!P48</f>
        <v>1032466.4383561644</v>
      </c>
      <c r="I46" s="645">
        <f>'2022 3,5 mln'!O63</f>
        <v>57169.97260273971</v>
      </c>
      <c r="J46" s="645">
        <f>'2022 - 18 mln'!N25</f>
        <v>745008.8356164383</v>
      </c>
      <c r="K46" s="763">
        <f>'Kredyt 20 mln na 2023'!N25</f>
        <v>1103305.8835616438</v>
      </c>
      <c r="L46" s="767">
        <f t="shared" si="8"/>
        <v>4148364.7232876713</v>
      </c>
      <c r="M46" s="772">
        <f>'2023-2 mln'!N25</f>
        <v>0</v>
      </c>
      <c r="N46" s="763">
        <f>'2024-20 mln'!N25</f>
        <v>1037340.8219178083</v>
      </c>
      <c r="O46" s="800">
        <f>'nowy 2024 -27,5mln'!N22</f>
        <v>1283133.3904109588</v>
      </c>
      <c r="P46" s="796">
        <f t="shared" si="9"/>
        <v>2320474.212328767</v>
      </c>
      <c r="Q46" s="401">
        <f t="shared" si="7"/>
        <v>6468838.935616438</v>
      </c>
      <c r="R46" s="203"/>
      <c r="S46" s="204">
        <v>5300000</v>
      </c>
      <c r="T46" s="205">
        <f t="shared" si="10"/>
        <v>-1168838.9356164383</v>
      </c>
      <c r="U46" s="684">
        <v>2029</v>
      </c>
    </row>
    <row r="47" spans="1:21" ht="12.75">
      <c r="A47" s="684">
        <v>2030</v>
      </c>
      <c r="B47" s="133"/>
      <c r="C47" s="133"/>
      <c r="D47" s="645"/>
      <c r="E47" s="645"/>
      <c r="F47" s="645">
        <f>'[3]OBLIGACJE PKO 2019'!$F$19</f>
        <v>516531.6</v>
      </c>
      <c r="G47" s="645">
        <f>'bgk 15 mln'!N27</f>
        <v>200697.19315068494</v>
      </c>
      <c r="H47" s="645">
        <f>'16 900'!P49</f>
        <v>965066.4383561644</v>
      </c>
      <c r="I47" s="645">
        <f>'2022 3,5 mln'!O64</f>
        <v>43689.97260273973</v>
      </c>
      <c r="J47" s="645">
        <f>'2022 - 18 mln'!N26</f>
        <v>680908.8356164384</v>
      </c>
      <c r="K47" s="763">
        <f>'Kredyt 20 mln na 2023'!N26</f>
        <v>1096895.8835616438</v>
      </c>
      <c r="L47" s="767">
        <f t="shared" si="8"/>
        <v>3503789.923287671</v>
      </c>
      <c r="M47" s="772">
        <f>'2023-2 mln'!N26</f>
        <v>0</v>
      </c>
      <c r="N47" s="763">
        <f>'2024-20 mln'!N26</f>
        <v>970940.8219178083</v>
      </c>
      <c r="O47" s="800">
        <f>'nowy 2024 -27,5mln'!N23</f>
        <v>1195383.390410959</v>
      </c>
      <c r="P47" s="796">
        <f t="shared" si="9"/>
        <v>2166324.2123287674</v>
      </c>
      <c r="Q47" s="401">
        <f t="shared" si="7"/>
        <v>5670114.135616438</v>
      </c>
      <c r="R47" s="203"/>
      <c r="S47" s="204">
        <v>4400000</v>
      </c>
      <c r="T47" s="205">
        <f t="shared" si="10"/>
        <v>-1270114.1356164385</v>
      </c>
      <c r="U47" s="684">
        <v>2030</v>
      </c>
    </row>
    <row r="48" spans="1:21" ht="12.75">
      <c r="A48" s="684">
        <v>2031</v>
      </c>
      <c r="B48" s="133"/>
      <c r="C48" s="133"/>
      <c r="D48" s="645"/>
      <c r="E48" s="645"/>
      <c r="F48" s="645">
        <f>'[3]OBLIGACJE PKO 2019'!$F$20</f>
        <v>131211.6</v>
      </c>
      <c r="G48" s="645">
        <f>'bgk 15 mln'!N28</f>
        <v>158727.65506849316</v>
      </c>
      <c r="H48" s="645">
        <f>'16 900'!P50</f>
        <v>897666.4383561645</v>
      </c>
      <c r="I48" s="645">
        <f>'2022 3,5 mln'!O65</f>
        <v>30209.97260273972</v>
      </c>
      <c r="J48" s="645">
        <f>'2022 - 18 mln'!N27</f>
        <v>616808.8356164384</v>
      </c>
      <c r="K48" s="763">
        <f>'Kredyt 20 mln na 2023'!N27</f>
        <v>1090485.8835616438</v>
      </c>
      <c r="L48" s="767">
        <f t="shared" si="8"/>
        <v>2925110.3852054793</v>
      </c>
      <c r="M48" s="772">
        <f>'2023-2 mln'!N27</f>
        <v>0</v>
      </c>
      <c r="N48" s="763">
        <f>'2024-20 mln'!N27</f>
        <v>904540.8219178083</v>
      </c>
      <c r="O48" s="800">
        <f>'nowy 2024 -27,5mln'!N24</f>
        <v>1107633.3904109588</v>
      </c>
      <c r="P48" s="796">
        <f t="shared" si="9"/>
        <v>2012174.212328767</v>
      </c>
      <c r="Q48" s="401">
        <f t="shared" si="7"/>
        <v>4937284.597534247</v>
      </c>
      <c r="R48" s="203"/>
      <c r="S48" s="204">
        <v>3600000</v>
      </c>
      <c r="T48" s="205">
        <f t="shared" si="10"/>
        <v>-1337284.5975342467</v>
      </c>
      <c r="U48" s="684">
        <v>2031</v>
      </c>
    </row>
    <row r="49" spans="1:21" ht="12.75">
      <c r="A49" s="684">
        <v>2032</v>
      </c>
      <c r="B49" s="133"/>
      <c r="C49" s="133"/>
      <c r="D49" s="645"/>
      <c r="E49" s="645"/>
      <c r="F49" s="645">
        <f>'[1]OBLIGACJE PKO 2019'!$F$21</f>
        <v>0</v>
      </c>
      <c r="G49" s="645">
        <f>'bgk 15 mln'!N29</f>
        <v>117448.81397260277</v>
      </c>
      <c r="H49" s="645">
        <f>'16 900'!P51</f>
        <v>806898.0273972601</v>
      </c>
      <c r="I49" s="645">
        <f>'2022 3,5 mln'!O66</f>
        <v>16803.835616438355</v>
      </c>
      <c r="J49" s="645">
        <f>'2022 - 18 mln'!N28</f>
        <v>554289.3835616438</v>
      </c>
      <c r="K49" s="763">
        <f>'Kredyt 20 mln na 2023'!N28</f>
        <v>1077376.1164383562</v>
      </c>
      <c r="L49" s="767">
        <f>SUM(B49:K49)</f>
        <v>2572816.1769863013</v>
      </c>
      <c r="M49" s="772">
        <f>'2023-2 mln'!N28</f>
        <v>0</v>
      </c>
      <c r="N49" s="763">
        <f>'2024-20 mln'!N28</f>
        <v>838209.2896174864</v>
      </c>
      <c r="O49" s="800">
        <f>'nowy 2024 -27,5mln'!N25</f>
        <v>1030982.5819672131</v>
      </c>
      <c r="P49" s="796">
        <f t="shared" si="9"/>
        <v>1869191.8715846995</v>
      </c>
      <c r="Q49" s="401">
        <f t="shared" si="7"/>
        <v>4442008.048571001</v>
      </c>
      <c r="R49" s="203"/>
      <c r="S49" s="204">
        <v>3000000</v>
      </c>
      <c r="T49" s="205">
        <f t="shared" si="10"/>
        <v>-1442008.0485710008</v>
      </c>
      <c r="U49" s="684">
        <v>2032</v>
      </c>
    </row>
    <row r="50" spans="1:21" ht="12.75">
      <c r="A50" s="684">
        <v>2033</v>
      </c>
      <c r="B50" s="133"/>
      <c r="C50" s="133"/>
      <c r="D50" s="645"/>
      <c r="E50" s="645"/>
      <c r="F50" s="645"/>
      <c r="G50" s="645">
        <f>'bgk 15 mln'!N30</f>
        <v>102414.1890410959</v>
      </c>
      <c r="H50" s="645">
        <f>'16 900'!P52</f>
        <v>669752.8767123288</v>
      </c>
      <c r="I50" s="645"/>
      <c r="J50" s="645">
        <f>'2022 - 18 mln'!N29</f>
        <v>488608.83561643836</v>
      </c>
      <c r="K50" s="763">
        <f>'Kredyt 20 mln na 2023'!N29</f>
        <v>1020577.3698630137</v>
      </c>
      <c r="L50" s="767">
        <f aca="true" t="shared" si="11" ref="L50:L58">SUM(B50:K50)</f>
        <v>2281353.271232877</v>
      </c>
      <c r="M50" s="772">
        <f>'2023-2 mln'!N29</f>
        <v>0</v>
      </c>
      <c r="N50" s="763">
        <f>'2024-20 mln'!N29</f>
        <v>771740.8219178081</v>
      </c>
      <c r="O50" s="800">
        <f>'nowy 2024 -27,5mln'!N26</f>
        <v>972422.2602739726</v>
      </c>
      <c r="P50" s="796">
        <f t="shared" si="9"/>
        <v>1744163.0821917807</v>
      </c>
      <c r="Q50" s="401">
        <f t="shared" si="7"/>
        <v>4025516.3534246576</v>
      </c>
      <c r="R50" s="203"/>
      <c r="S50" s="204">
        <v>2700000</v>
      </c>
      <c r="T50" s="205">
        <f t="shared" si="10"/>
        <v>-1325516.3534246576</v>
      </c>
      <c r="U50" s="684">
        <v>2033</v>
      </c>
    </row>
    <row r="51" spans="1:21" ht="12.75">
      <c r="A51" s="684">
        <v>2034</v>
      </c>
      <c r="B51" s="133"/>
      <c r="C51" s="133"/>
      <c r="D51" s="645"/>
      <c r="E51" s="645"/>
      <c r="F51" s="645"/>
      <c r="G51" s="645">
        <f>'bgk 15 mln'!N31</f>
        <v>87730.68904109589</v>
      </c>
      <c r="H51" s="645">
        <f>'16 900'!P53</f>
        <v>534952.8767123288</v>
      </c>
      <c r="I51" s="645"/>
      <c r="J51" s="645">
        <f>'2022 - 18 mln'!N30</f>
        <v>424508.83561643836</v>
      </c>
      <c r="K51" s="763">
        <f>'Kredyt 20 mln na 2023'!N30</f>
        <v>930837.3698630137</v>
      </c>
      <c r="L51" s="767">
        <f t="shared" si="11"/>
        <v>1978029.7712328767</v>
      </c>
      <c r="M51" s="772">
        <f>'2023-2 mln'!N30</f>
        <v>0</v>
      </c>
      <c r="N51" s="763">
        <f>'2024-20 mln'!N30</f>
        <v>705340.8219178081</v>
      </c>
      <c r="O51" s="800">
        <f>'nowy 2024 -27,5mln'!N27</f>
        <v>913922.2602739725</v>
      </c>
      <c r="P51" s="796">
        <f t="shared" si="9"/>
        <v>1619263.0821917807</v>
      </c>
      <c r="Q51" s="401">
        <f t="shared" si="7"/>
        <v>3597292.853424657</v>
      </c>
      <c r="R51" s="203"/>
      <c r="S51" s="204">
        <v>2300000</v>
      </c>
      <c r="T51" s="205">
        <f t="shared" si="10"/>
        <v>-1297292.8534246571</v>
      </c>
      <c r="U51" s="684">
        <v>2034</v>
      </c>
    </row>
    <row r="52" spans="1:21" ht="12.75">
      <c r="A52" s="684">
        <v>2035</v>
      </c>
      <c r="B52" s="133"/>
      <c r="C52" s="133"/>
      <c r="D52" s="645"/>
      <c r="E52" s="645"/>
      <c r="F52" s="645"/>
      <c r="G52" s="645">
        <f>'bgk 15 mln'!N32</f>
        <v>73047.18904109589</v>
      </c>
      <c r="H52" s="645">
        <f>'16 900'!P54</f>
        <v>425866.4383561643</v>
      </c>
      <c r="I52" s="645"/>
      <c r="J52" s="645">
        <f>'2022 - 18 mln'!N31</f>
        <v>360408.8356164384</v>
      </c>
      <c r="K52" s="763">
        <f>'Kredyt 20 mln na 2023'!N31</f>
        <v>850773.8356164384</v>
      </c>
      <c r="L52" s="767">
        <f>SUM(B52:K52)</f>
        <v>1710096.298630137</v>
      </c>
      <c r="M52" s="772">
        <f>'2023-2 mln'!N31</f>
        <v>0</v>
      </c>
      <c r="N52" s="763">
        <f>'2024-20 mln'!N31</f>
        <v>638940.8219178081</v>
      </c>
      <c r="O52" s="800">
        <f>'nowy 2024 -27,5mln'!N28</f>
        <v>855422.2602739725</v>
      </c>
      <c r="P52" s="796">
        <f t="shared" si="9"/>
        <v>1494363.0821917807</v>
      </c>
      <c r="Q52" s="401">
        <f t="shared" si="7"/>
        <v>3204459.3808219177</v>
      </c>
      <c r="R52" s="203"/>
      <c r="S52" s="204">
        <v>2000000</v>
      </c>
      <c r="T52" s="205">
        <f t="shared" si="10"/>
        <v>-1204459.3808219177</v>
      </c>
      <c r="U52" s="684">
        <v>2035</v>
      </c>
    </row>
    <row r="53" spans="1:21" ht="12.75">
      <c r="A53" s="684">
        <v>2036</v>
      </c>
      <c r="B53" s="133"/>
      <c r="C53" s="133"/>
      <c r="D53" s="645"/>
      <c r="E53" s="645"/>
      <c r="F53" s="645"/>
      <c r="G53" s="645">
        <f>'bgk 15 mln'!N33</f>
        <v>58553.89890410959</v>
      </c>
      <c r="H53" s="645">
        <f>'16 900'!P55</f>
        <v>359518.9863013698</v>
      </c>
      <c r="I53" s="645"/>
      <c r="J53" s="645">
        <f>'2022 - 18 mln'!N32</f>
        <v>297186.9178082192</v>
      </c>
      <c r="K53" s="763">
        <f>'Kredyt 20 mln na 2023'!N32</f>
        <v>785266.7089041095</v>
      </c>
      <c r="L53" s="767">
        <f>SUM(B53:K53)</f>
        <v>1500526.511917808</v>
      </c>
      <c r="M53" s="772">
        <f>'2023-2 mln'!N32</f>
        <v>0</v>
      </c>
      <c r="N53" s="763">
        <f>'2024-20 mln'!N32</f>
        <v>572609.2896174863</v>
      </c>
      <c r="O53" s="800">
        <f>'nowy 2024 -27,5mln'!N29</f>
        <v>796982.5819672132</v>
      </c>
      <c r="P53" s="796">
        <f t="shared" si="9"/>
        <v>1369591.8715846995</v>
      </c>
      <c r="Q53" s="401">
        <f t="shared" si="7"/>
        <v>2870118.3835025076</v>
      </c>
      <c r="R53" s="203"/>
      <c r="S53" s="204">
        <v>1700000</v>
      </c>
      <c r="T53" s="205">
        <f t="shared" si="10"/>
        <v>-1170118.3835025076</v>
      </c>
      <c r="U53" s="684">
        <v>2036</v>
      </c>
    </row>
    <row r="54" spans="1:21" ht="12.75">
      <c r="A54" s="684">
        <v>2037</v>
      </c>
      <c r="B54" s="133"/>
      <c r="C54" s="133"/>
      <c r="D54" s="645"/>
      <c r="E54" s="645"/>
      <c r="F54" s="645"/>
      <c r="G54" s="645">
        <f>'bgk 15 mln'!N34</f>
        <v>39425.22328767123</v>
      </c>
      <c r="H54" s="645">
        <f>'16 900'!P56</f>
        <v>291066.43835616444</v>
      </c>
      <c r="I54" s="645"/>
      <c r="J54" s="645">
        <f>'2022 - 18 mln'!N33</f>
        <v>232208.83561643836</v>
      </c>
      <c r="K54" s="763">
        <f>'Kredyt 20 mln na 2023'!N33</f>
        <v>664576.5068493151</v>
      </c>
      <c r="L54" s="767">
        <f>SUM(B54:K54)</f>
        <v>1227277.0041095892</v>
      </c>
      <c r="M54" s="772">
        <f>'2023-2 mln'!N33</f>
        <v>0</v>
      </c>
      <c r="N54" s="763">
        <f>'2024-20 mln'!N33</f>
        <v>506140.82191780827</v>
      </c>
      <c r="O54" s="800">
        <f>'nowy 2024 -27,5mln'!N30</f>
        <v>738422.2602739726</v>
      </c>
      <c r="P54" s="796">
        <f t="shared" si="9"/>
        <v>1244563.082191781</v>
      </c>
      <c r="Q54" s="401">
        <f t="shared" si="7"/>
        <v>2471840.08630137</v>
      </c>
      <c r="R54" s="203"/>
      <c r="S54" s="204">
        <v>1400000</v>
      </c>
      <c r="T54" s="205">
        <f t="shared" si="10"/>
        <v>-1071840.08630137</v>
      </c>
      <c r="U54" s="684">
        <v>2037</v>
      </c>
    </row>
    <row r="55" spans="1:21" ht="12.75">
      <c r="A55" s="684">
        <v>2038</v>
      </c>
      <c r="B55" s="133"/>
      <c r="C55" s="133"/>
      <c r="D55" s="645"/>
      <c r="E55" s="645"/>
      <c r="F55" s="645"/>
      <c r="G55" s="645">
        <f>'bgk 15 mln'!N35</f>
        <v>19094.223287671233</v>
      </c>
      <c r="H55" s="645">
        <f>'16 900'!P57</f>
        <v>223666.43835616435</v>
      </c>
      <c r="I55" s="645"/>
      <c r="J55" s="645">
        <f>'2022 - 18 mln'!N34</f>
        <v>168108.83561643836</v>
      </c>
      <c r="K55" s="763">
        <f>'Kredyt 20 mln na 2023'!N34</f>
        <v>496467.6712328767</v>
      </c>
      <c r="L55" s="767">
        <f t="shared" si="11"/>
        <v>907337.1684931506</v>
      </c>
      <c r="M55" s="772">
        <f>'2023-2 mln'!N34</f>
        <v>0</v>
      </c>
      <c r="N55" s="763">
        <f>'2024-20 mln'!N34</f>
        <v>439740.82191780827</v>
      </c>
      <c r="O55" s="800">
        <f>'nowy 2024 -27,5mln'!N31</f>
        <v>679922.2602739726</v>
      </c>
      <c r="P55" s="796">
        <f t="shared" si="9"/>
        <v>1119663.082191781</v>
      </c>
      <c r="Q55" s="401">
        <f t="shared" si="7"/>
        <v>2027000.2506849314</v>
      </c>
      <c r="R55" s="203"/>
      <c r="S55" s="204">
        <v>1100000</v>
      </c>
      <c r="T55" s="205">
        <f t="shared" si="10"/>
        <v>-927000.2506849314</v>
      </c>
      <c r="U55" s="684">
        <v>2038</v>
      </c>
    </row>
    <row r="56" spans="1:21" ht="12.75">
      <c r="A56" s="684">
        <v>2039</v>
      </c>
      <c r="B56" s="133"/>
      <c r="C56" s="133"/>
      <c r="D56" s="645"/>
      <c r="E56" s="645"/>
      <c r="F56" s="645"/>
      <c r="G56" s="645">
        <f>'bgk 15 mln'!N36</f>
        <v>10109.798630136987</v>
      </c>
      <c r="H56" s="645">
        <f>'16 900'!P58</f>
        <v>156266.43835616438</v>
      </c>
      <c r="I56" s="645"/>
      <c r="J56" s="645">
        <f>'2022 - 18 mln'!N35</f>
        <v>104008.83561643836</v>
      </c>
      <c r="K56" s="763">
        <f>'Kredyt 20 mln na 2023'!N35</f>
        <v>368267.6712328768</v>
      </c>
      <c r="L56" s="767">
        <f>SUM(B56:K56)</f>
        <v>638652.7438356165</v>
      </c>
      <c r="M56" s="772">
        <f>'2023-2 mln'!N35</f>
        <v>0</v>
      </c>
      <c r="N56" s="763">
        <f>'2024-20 mln'!N35</f>
        <v>373340.82191780815</v>
      </c>
      <c r="O56" s="800">
        <f>'nowy 2024 -27,5mln'!N32</f>
        <v>621422.2602739726</v>
      </c>
      <c r="P56" s="796">
        <f t="shared" si="9"/>
        <v>994763.0821917808</v>
      </c>
      <c r="Q56" s="401">
        <f>L56+P56</f>
        <v>1633415.8260273973</v>
      </c>
      <c r="R56" s="203"/>
      <c r="S56" s="204">
        <v>800000</v>
      </c>
      <c r="T56" s="205">
        <f t="shared" si="10"/>
        <v>-833415.8260273973</v>
      </c>
      <c r="U56" s="684">
        <v>2039</v>
      </c>
    </row>
    <row r="57" spans="1:21" ht="12.75">
      <c r="A57" s="684">
        <v>2040</v>
      </c>
      <c r="B57" s="133"/>
      <c r="C57" s="133"/>
      <c r="D57" s="645"/>
      <c r="E57" s="645"/>
      <c r="F57" s="645"/>
      <c r="G57" s="645">
        <f>'bgk 15 mln'!N37</f>
        <v>4862.9358904109595</v>
      </c>
      <c r="H57" s="645">
        <f>'16 900'!P59</f>
        <v>89180.35616438354</v>
      </c>
      <c r="I57" s="645"/>
      <c r="J57" s="645">
        <f>'2022 - 18 mln'!N36</f>
        <v>40084.45205479452</v>
      </c>
      <c r="K57" s="763">
        <f>'Kredyt 20 mln na 2023'!N36</f>
        <v>240857.94520547945</v>
      </c>
      <c r="L57" s="767">
        <f t="shared" si="11"/>
        <v>374985.6893150685</v>
      </c>
      <c r="M57" s="772"/>
      <c r="N57" s="763">
        <f>'2024-20 mln'!N36</f>
        <v>307009.28961748636</v>
      </c>
      <c r="O57" s="800">
        <f>'nowy 2024 -27,5mln'!N33</f>
        <v>562982.5819672131</v>
      </c>
      <c r="P57" s="796">
        <f t="shared" si="9"/>
        <v>869991.8715846995</v>
      </c>
      <c r="Q57" s="401">
        <f t="shared" si="7"/>
        <v>1244977.560899768</v>
      </c>
      <c r="R57" s="203"/>
      <c r="S57" s="204">
        <v>600000</v>
      </c>
      <c r="T57" s="205">
        <f t="shared" si="10"/>
        <v>-644977.560899768</v>
      </c>
      <c r="U57" s="684">
        <v>2040</v>
      </c>
    </row>
    <row r="58" spans="1:21" ht="12.75">
      <c r="A58" s="684">
        <v>2041</v>
      </c>
      <c r="B58" s="133"/>
      <c r="C58" s="133"/>
      <c r="D58" s="645"/>
      <c r="E58" s="645"/>
      <c r="F58" s="645"/>
      <c r="G58" s="645">
        <f>'bgk 15 mln'!N38</f>
        <v>872.654794520548</v>
      </c>
      <c r="H58" s="645">
        <f>'16 900'!P60</f>
        <v>22417.424657534248</v>
      </c>
      <c r="I58" s="645"/>
      <c r="J58" s="645">
        <f>'2022 - 18 mln'!N37</f>
        <v>0</v>
      </c>
      <c r="K58" s="763">
        <f>'Kredyt 20 mln na 2023'!N37</f>
        <v>99772.0890410959</v>
      </c>
      <c r="L58" s="767">
        <f t="shared" si="11"/>
        <v>123062.16849315069</v>
      </c>
      <c r="M58" s="772"/>
      <c r="N58" s="763">
        <f>'2024-20 mln'!N37</f>
        <v>240540.82191780824</v>
      </c>
      <c r="O58" s="800">
        <f>'nowy 2024 -27,5mln'!N34</f>
        <v>504422.2602739726</v>
      </c>
      <c r="P58" s="796">
        <f t="shared" si="9"/>
        <v>744963.0821917808</v>
      </c>
      <c r="Q58" s="401">
        <f>L58+P58</f>
        <v>868025.2506849315</v>
      </c>
      <c r="R58" s="203"/>
      <c r="S58" s="204">
        <v>400000</v>
      </c>
      <c r="T58" s="205">
        <f t="shared" si="10"/>
        <v>-468025.2506849315</v>
      </c>
      <c r="U58" s="684">
        <v>2041</v>
      </c>
    </row>
    <row r="59" spans="1:21" ht="12.75">
      <c r="A59" s="684">
        <v>2042</v>
      </c>
      <c r="B59" s="133"/>
      <c r="C59" s="133"/>
      <c r="D59" s="645"/>
      <c r="E59" s="645"/>
      <c r="F59" s="645"/>
      <c r="G59" s="645"/>
      <c r="H59" s="645"/>
      <c r="I59" s="645"/>
      <c r="J59" s="645"/>
      <c r="K59" s="763"/>
      <c r="L59" s="767">
        <f>SUM(B59:J59)</f>
        <v>0</v>
      </c>
      <c r="M59" s="773">
        <f>J59+L59</f>
        <v>0</v>
      </c>
      <c r="N59" s="763">
        <f>'2024-20 mln'!N38</f>
        <v>172867.39726027398</v>
      </c>
      <c r="O59" s="800">
        <f>'nowy 2024 -27,5mln'!N35</f>
        <v>445922.2602739726</v>
      </c>
      <c r="P59" s="796">
        <f t="shared" si="9"/>
        <v>618789.6575342466</v>
      </c>
      <c r="Q59" s="647">
        <f>L59+P59</f>
        <v>618789.6575342466</v>
      </c>
      <c r="R59" s="203"/>
      <c r="S59" s="204">
        <v>200000</v>
      </c>
      <c r="T59" s="205">
        <f t="shared" si="10"/>
        <v>-418789.65753424657</v>
      </c>
      <c r="U59" s="684">
        <v>2042</v>
      </c>
    </row>
    <row r="60" spans="1:21" ht="12.75">
      <c r="A60" s="684">
        <v>2043</v>
      </c>
      <c r="B60" s="133"/>
      <c r="C60" s="133"/>
      <c r="D60" s="645"/>
      <c r="E60" s="645"/>
      <c r="F60" s="645"/>
      <c r="G60" s="645"/>
      <c r="H60" s="645"/>
      <c r="I60" s="645"/>
      <c r="J60" s="645"/>
      <c r="K60" s="763"/>
      <c r="L60" s="767">
        <f>SUM(B60:J60)</f>
        <v>0</v>
      </c>
      <c r="M60" s="773">
        <f>J60+L60</f>
        <v>0</v>
      </c>
      <c r="N60" s="763">
        <f>'2024-20 mln'!N39</f>
        <v>80134.79452054793</v>
      </c>
      <c r="O60" s="800">
        <f>'nowy 2024 -27,5mln'!N36</f>
        <v>365344.5205479452</v>
      </c>
      <c r="P60" s="796">
        <f t="shared" si="9"/>
        <v>445479.31506849313</v>
      </c>
      <c r="Q60" s="647">
        <f>L60+P60</f>
        <v>445479.31506849313</v>
      </c>
      <c r="R60" s="203"/>
      <c r="S60" s="204">
        <v>100000</v>
      </c>
      <c r="T60" s="205">
        <f t="shared" si="10"/>
        <v>-345479.31506849313</v>
      </c>
      <c r="U60" s="684">
        <v>2043</v>
      </c>
    </row>
    <row r="61" spans="1:21" ht="12.75">
      <c r="A61" s="684">
        <v>2044</v>
      </c>
      <c r="B61" s="133"/>
      <c r="C61" s="133"/>
      <c r="D61" s="645"/>
      <c r="E61" s="645"/>
      <c r="F61" s="645"/>
      <c r="G61" s="645"/>
      <c r="H61" s="645"/>
      <c r="I61" s="645"/>
      <c r="J61" s="645"/>
      <c r="K61" s="763"/>
      <c r="L61" s="767">
        <f>SUM(B61:J61)</f>
        <v>0</v>
      </c>
      <c r="M61" s="773">
        <f>J61+L61</f>
        <v>0</v>
      </c>
      <c r="N61" s="763"/>
      <c r="O61" s="800">
        <f>'nowy 2024 -27,5mln'!N37</f>
        <v>182412.90983606558</v>
      </c>
      <c r="P61" s="796">
        <f t="shared" si="9"/>
        <v>182412.90983606558</v>
      </c>
      <c r="Q61" s="647">
        <f t="shared" si="7"/>
        <v>182412.90983606558</v>
      </c>
      <c r="R61" s="203"/>
      <c r="S61" s="204">
        <v>0</v>
      </c>
      <c r="T61" s="205">
        <f t="shared" si="10"/>
        <v>-182412.90983606558</v>
      </c>
      <c r="U61" s="684">
        <v>2044</v>
      </c>
    </row>
    <row r="62" spans="1:21" ht="13.5" thickBot="1">
      <c r="A62" s="684">
        <v>2045</v>
      </c>
      <c r="B62" s="133"/>
      <c r="C62" s="133"/>
      <c r="D62" s="645"/>
      <c r="E62" s="645"/>
      <c r="F62" s="645"/>
      <c r="G62" s="645"/>
      <c r="H62" s="645"/>
      <c r="I62" s="645"/>
      <c r="J62" s="761"/>
      <c r="K62" s="763"/>
      <c r="L62" s="767">
        <f>SUM(B62:J62)</f>
        <v>0</v>
      </c>
      <c r="M62" s="773">
        <f>J62+L62</f>
        <v>0</v>
      </c>
      <c r="N62" s="777"/>
      <c r="O62" s="800"/>
      <c r="P62" s="796">
        <f t="shared" si="9"/>
        <v>0</v>
      </c>
      <c r="Q62" s="647">
        <f t="shared" si="7"/>
        <v>0</v>
      </c>
      <c r="R62" s="648"/>
      <c r="S62" s="403">
        <v>0</v>
      </c>
      <c r="T62" s="205">
        <f t="shared" si="10"/>
        <v>0</v>
      </c>
      <c r="U62" s="684">
        <v>2045</v>
      </c>
    </row>
    <row r="63" spans="1:21" ht="13.5" thickBot="1">
      <c r="A63" s="687" t="str">
        <f>A35</f>
        <v>Suma</v>
      </c>
      <c r="B63" s="125">
        <f aca="true" t="shared" si="12" ref="B63:H63">SUM(B40:B58)</f>
        <v>0</v>
      </c>
      <c r="C63" s="67">
        <f t="shared" si="12"/>
        <v>0</v>
      </c>
      <c r="D63" s="408">
        <f t="shared" si="12"/>
        <v>2380134.2465753425</v>
      </c>
      <c r="E63" s="151">
        <f t="shared" si="12"/>
        <v>3518600</v>
      </c>
      <c r="F63" s="150">
        <f t="shared" si="12"/>
        <v>11556531.6</v>
      </c>
      <c r="G63" s="649">
        <f t="shared" si="12"/>
        <v>3581609.013150685</v>
      </c>
      <c r="H63" s="88">
        <f t="shared" si="12"/>
        <v>13252223.044266792</v>
      </c>
      <c r="I63" s="88">
        <f>SUM(I40:I58)</f>
        <v>817258.6429493225</v>
      </c>
      <c r="J63" s="762">
        <f>SUM(J40:J58)</f>
        <v>10672874.312876713</v>
      </c>
      <c r="K63" s="762">
        <f>SUM(K40:K58)</f>
        <v>16137296.706849316</v>
      </c>
      <c r="L63" s="768">
        <f>SUM(D63:K63)</f>
        <v>61916527.56666816</v>
      </c>
      <c r="M63" s="764">
        <f>'2023-2 mln'!N40</f>
        <v>149445.47945205477</v>
      </c>
      <c r="N63" s="87">
        <f>'2024-20 mln'!N40</f>
        <v>13372870.035182273</v>
      </c>
      <c r="O63" s="801">
        <f>'nowy 2024 -27,5mln'!N38</f>
        <v>18201185.21362003</v>
      </c>
      <c r="P63" s="796">
        <f t="shared" si="9"/>
        <v>31723500.728254355</v>
      </c>
      <c r="Q63" s="650">
        <f>L63+P63</f>
        <v>93640028.29492252</v>
      </c>
      <c r="R63" s="651"/>
      <c r="S63" s="408">
        <f>SUM(S40:S62)</f>
        <v>76950000</v>
      </c>
      <c r="T63" s="652">
        <f>SUM(T40:T60)</f>
        <v>-16507615.385086458</v>
      </c>
      <c r="U63"/>
    </row>
    <row r="64" spans="1:22" ht="12.75">
      <c r="A64" s="11"/>
      <c r="B64" s="133"/>
      <c r="C64" s="228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793"/>
      <c r="O64" s="798"/>
      <c r="P64" s="797"/>
      <c r="Q64" s="155"/>
      <c r="R64" s="155"/>
      <c r="T64" s="3"/>
      <c r="U64" s="250"/>
      <c r="V64" s="3"/>
    </row>
    <row r="65" spans="20:22" ht="12.75">
      <c r="T65" s="3"/>
      <c r="U65" s="3"/>
      <c r="V65" s="3"/>
    </row>
    <row r="66" spans="20:22" ht="12.75">
      <c r="T66" s="3"/>
      <c r="U66" s="3"/>
      <c r="V66" s="3"/>
    </row>
    <row r="67" spans="5:22" ht="13.5" hidden="1" thickBot="1">
      <c r="E67" s="19" t="s">
        <v>62</v>
      </c>
      <c r="F67" s="158">
        <v>4.2693</v>
      </c>
      <c r="G67" s="159"/>
      <c r="H67" s="161"/>
      <c r="I67" s="161"/>
      <c r="J67" s="160"/>
      <c r="K67" s="697"/>
      <c r="M67" s="161"/>
      <c r="N67" s="161"/>
      <c r="O67" s="161"/>
      <c r="P67" s="162"/>
      <c r="T67" s="3"/>
      <c r="U67" s="3"/>
      <c r="V67" s="3"/>
    </row>
    <row r="68" spans="20:22" ht="12.75" hidden="1">
      <c r="T68" s="3"/>
      <c r="U68" s="3"/>
      <c r="V68" s="3"/>
    </row>
    <row r="69" ht="12.75" hidden="1"/>
    <row r="70" ht="12.75" hidden="1"/>
    <row r="71" ht="12.75" hidden="1"/>
    <row r="72" ht="12.75" hidden="1"/>
    <row r="73" ht="12.75" hidden="1">
      <c r="G73" s="17" t="s">
        <v>64</v>
      </c>
    </row>
    <row r="74" spans="4:7" ht="12.75" customHeight="1" hidden="1">
      <c r="D74" s="653"/>
      <c r="E74" s="653"/>
      <c r="F74" s="653"/>
      <c r="G74" s="654"/>
    </row>
    <row r="75" spans="4:7" ht="12.75" hidden="1">
      <c r="D75" s="252">
        <v>2</v>
      </c>
      <c r="E75" s="252">
        <v>3</v>
      </c>
      <c r="F75" s="252">
        <v>4</v>
      </c>
      <c r="G75" s="253">
        <v>5</v>
      </c>
    </row>
    <row r="76" spans="4:7" ht="12.75" hidden="1">
      <c r="D76" s="112" t="s">
        <v>67</v>
      </c>
      <c r="E76" s="168" t="s">
        <v>68</v>
      </c>
      <c r="F76" s="168" t="s">
        <v>69</v>
      </c>
      <c r="G76" s="169" t="s">
        <v>70</v>
      </c>
    </row>
    <row r="77" spans="4:7" ht="12.75" hidden="1">
      <c r="D77" s="172">
        <f>SUM(G11)</f>
        <v>21000</v>
      </c>
      <c r="E77" s="172" t="e">
        <f>SUM(#REF!+#REF!)</f>
        <v>#REF!</v>
      </c>
      <c r="F77" s="173" t="e">
        <f>#REF!</f>
        <v>#REF!</v>
      </c>
      <c r="G77" s="174" t="e">
        <f aca="true" t="shared" si="13" ref="G77:G97">SUM(D77:F77)</f>
        <v>#REF!</v>
      </c>
    </row>
    <row r="78" spans="4:7" ht="12.75" hidden="1">
      <c r="D78" s="172" t="e">
        <f>SUM(#REF!)</f>
        <v>#REF!</v>
      </c>
      <c r="E78" s="172" t="e">
        <f>SUM(#REF!+#REF!)</f>
        <v>#REF!</v>
      </c>
      <c r="F78" s="173" t="e">
        <f>#REF!</f>
        <v>#REF!</v>
      </c>
      <c r="G78" s="174" t="e">
        <f t="shared" si="13"/>
        <v>#REF!</v>
      </c>
    </row>
    <row r="79" spans="4:7" ht="12.75" hidden="1">
      <c r="D79" s="172">
        <f aca="true" t="shared" si="14" ref="D79:D97">SUM(G12)</f>
        <v>8610000</v>
      </c>
      <c r="E79" s="172" t="e">
        <f>SUM(#REF!+#REF!)</f>
        <v>#REF!</v>
      </c>
      <c r="F79" s="173" t="e">
        <f>#REF!</f>
        <v>#REF!</v>
      </c>
      <c r="G79" s="174" t="e">
        <f t="shared" si="13"/>
        <v>#REF!</v>
      </c>
    </row>
    <row r="80" spans="4:7" ht="12.75" hidden="1">
      <c r="D80" s="172">
        <f t="shared" si="14"/>
        <v>0</v>
      </c>
      <c r="E80" s="172" t="e">
        <f>SUM(#REF!+#REF!)</f>
        <v>#REF!</v>
      </c>
      <c r="F80" s="173" t="e">
        <f>#REF!</f>
        <v>#REF!</v>
      </c>
      <c r="G80" s="174" t="e">
        <f t="shared" si="13"/>
        <v>#REF!</v>
      </c>
    </row>
    <row r="81" spans="4:7" ht="12.75" hidden="1">
      <c r="D81" s="172">
        <f t="shared" si="14"/>
        <v>0</v>
      </c>
      <c r="E81" s="172" t="e">
        <f>SUM(#REF!+#REF!)</f>
        <v>#REF!</v>
      </c>
      <c r="F81" s="173" t="e">
        <f>#REF!</f>
        <v>#REF!</v>
      </c>
      <c r="G81" s="174" t="e">
        <f t="shared" si="13"/>
        <v>#REF!</v>
      </c>
    </row>
    <row r="82" spans="4:7" ht="12.75" hidden="1">
      <c r="D82" s="172">
        <f t="shared" si="14"/>
        <v>1000000</v>
      </c>
      <c r="E82" s="172" t="e">
        <f>SUM(#REF!+#REF!)</f>
        <v>#REF!</v>
      </c>
      <c r="F82" s="173" t="e">
        <f>#REF!</f>
        <v>#REF!</v>
      </c>
      <c r="G82" s="174" t="e">
        <f t="shared" si="13"/>
        <v>#REF!</v>
      </c>
    </row>
    <row r="83" spans="4:7" ht="12.75" hidden="1">
      <c r="D83" s="172">
        <f t="shared" si="14"/>
        <v>1000000</v>
      </c>
      <c r="E83" s="172" t="e">
        <f>SUM(#REF!+#REF!)</f>
        <v>#REF!</v>
      </c>
      <c r="F83" s="173" t="e">
        <f>#REF!</f>
        <v>#REF!</v>
      </c>
      <c r="G83" s="174" t="e">
        <f t="shared" si="13"/>
        <v>#REF!</v>
      </c>
    </row>
    <row r="84" spans="4:7" ht="12.75" hidden="1">
      <c r="D84" s="172">
        <f t="shared" si="14"/>
        <v>1000000</v>
      </c>
      <c r="E84" s="172" t="e">
        <f>SUM(#REF!+#REF!)</f>
        <v>#REF!</v>
      </c>
      <c r="F84" s="173" t="e">
        <f>#REF!</f>
        <v>#REF!</v>
      </c>
      <c r="G84" s="174" t="e">
        <f t="shared" si="13"/>
        <v>#REF!</v>
      </c>
    </row>
    <row r="85" spans="4:7" ht="12.75" hidden="1">
      <c r="D85" s="172">
        <f t="shared" si="14"/>
        <v>500000</v>
      </c>
      <c r="E85" s="172" t="e">
        <f>SUM(#REF!+#REF!)</f>
        <v>#REF!</v>
      </c>
      <c r="F85" s="173" t="e">
        <f>#REF!</f>
        <v>#REF!</v>
      </c>
      <c r="G85" s="174" t="e">
        <f t="shared" si="13"/>
        <v>#REF!</v>
      </c>
    </row>
    <row r="86" spans="4:7" ht="12.75" hidden="1">
      <c r="D86" s="172">
        <f t="shared" si="14"/>
        <v>500000</v>
      </c>
      <c r="E86" s="172" t="e">
        <f>SUM(#REF!+#REF!)</f>
        <v>#REF!</v>
      </c>
      <c r="F86" s="173" t="e">
        <f>#REF!</f>
        <v>#REF!</v>
      </c>
      <c r="G86" s="174" t="e">
        <f t="shared" si="13"/>
        <v>#REF!</v>
      </c>
    </row>
    <row r="87" spans="4:7" ht="12.75" hidden="1">
      <c r="D87" s="172">
        <f t="shared" si="14"/>
        <v>652000</v>
      </c>
      <c r="E87" s="172" t="e">
        <f>SUM(#REF!+#REF!)</f>
        <v>#REF!</v>
      </c>
      <c r="F87" s="173" t="e">
        <f>#REF!</f>
        <v>#REF!</v>
      </c>
      <c r="G87" s="174" t="e">
        <f t="shared" si="13"/>
        <v>#REF!</v>
      </c>
    </row>
    <row r="88" spans="4:7" ht="12.75" hidden="1">
      <c r="D88" s="172">
        <f t="shared" si="14"/>
        <v>195000</v>
      </c>
      <c r="E88" s="172" t="e">
        <f>SUM(#REF!+#REF!)</f>
        <v>#REF!</v>
      </c>
      <c r="F88" s="173" t="e">
        <f>#REF!</f>
        <v>#REF!</v>
      </c>
      <c r="G88" s="174" t="e">
        <f t="shared" si="13"/>
        <v>#REF!</v>
      </c>
    </row>
    <row r="89" spans="4:7" ht="12.75" hidden="1">
      <c r="D89" s="172">
        <f t="shared" si="14"/>
        <v>195000</v>
      </c>
      <c r="E89" s="172" t="e">
        <f>SUM(#REF!+#REF!)</f>
        <v>#REF!</v>
      </c>
      <c r="F89" s="173" t="e">
        <f>#REF!</f>
        <v>#REF!</v>
      </c>
      <c r="G89" s="174" t="e">
        <f t="shared" si="13"/>
        <v>#REF!</v>
      </c>
    </row>
    <row r="90" spans="4:7" ht="12.75" hidden="1">
      <c r="D90" s="172">
        <f t="shared" si="14"/>
        <v>195000</v>
      </c>
      <c r="E90" s="172" t="e">
        <f>SUM(#REF!+#REF!)</f>
        <v>#REF!</v>
      </c>
      <c r="F90" s="173" t="e">
        <f>#REF!</f>
        <v>#REF!</v>
      </c>
      <c r="G90" s="174" t="e">
        <f t="shared" si="13"/>
        <v>#REF!</v>
      </c>
    </row>
    <row r="91" spans="4:7" ht="12.75" hidden="1">
      <c r="D91" s="172">
        <f t="shared" si="14"/>
        <v>195000</v>
      </c>
      <c r="E91" s="172" t="e">
        <f>SUM(#REF!+#REF!)</f>
        <v>#REF!</v>
      </c>
      <c r="F91" s="173" t="e">
        <f>#REF!</f>
        <v>#REF!</v>
      </c>
      <c r="G91" s="174" t="e">
        <f t="shared" si="13"/>
        <v>#REF!</v>
      </c>
    </row>
    <row r="92" spans="4:7" ht="12.75" hidden="1">
      <c r="D92" s="172">
        <f t="shared" si="14"/>
        <v>195000</v>
      </c>
      <c r="E92" s="172" t="e">
        <f>SUM(#REF!+#REF!)</f>
        <v>#REF!</v>
      </c>
      <c r="F92" s="173" t="e">
        <f>#REF!</f>
        <v>#REF!</v>
      </c>
      <c r="G92" s="174" t="e">
        <f t="shared" si="13"/>
        <v>#REF!</v>
      </c>
    </row>
    <row r="93" spans="4:7" ht="12.75" hidden="1">
      <c r="D93" s="172">
        <f t="shared" si="14"/>
        <v>270000</v>
      </c>
      <c r="E93" s="172" t="e">
        <f>SUM(#REF!+#REF!)</f>
        <v>#REF!</v>
      </c>
      <c r="F93" s="173" t="e">
        <f>#REF!</f>
        <v>#REF!</v>
      </c>
      <c r="G93" s="174" t="e">
        <f t="shared" si="13"/>
        <v>#REF!</v>
      </c>
    </row>
    <row r="94" spans="4:7" ht="12.75" hidden="1">
      <c r="D94" s="172">
        <f t="shared" si="14"/>
        <v>270000</v>
      </c>
      <c r="E94" s="172" t="e">
        <f>SUM(#REF!+#REF!)</f>
        <v>#REF!</v>
      </c>
      <c r="F94" s="173" t="e">
        <f>#REF!</f>
        <v>#REF!</v>
      </c>
      <c r="G94" s="174" t="e">
        <f t="shared" si="13"/>
        <v>#REF!</v>
      </c>
    </row>
    <row r="95" spans="4:7" ht="12.75" hidden="1">
      <c r="D95" s="172">
        <f t="shared" si="14"/>
        <v>70000</v>
      </c>
      <c r="E95" s="172" t="e">
        <f>SUM(#REF!+#REF!)</f>
        <v>#REF!</v>
      </c>
      <c r="F95" s="173" t="e">
        <f>#REF!</f>
        <v>#REF!</v>
      </c>
      <c r="G95" s="174" t="e">
        <f t="shared" si="13"/>
        <v>#REF!</v>
      </c>
    </row>
    <row r="96" spans="4:7" ht="12.75" hidden="1">
      <c r="D96" s="172">
        <f t="shared" si="14"/>
        <v>70000</v>
      </c>
      <c r="E96" s="172" t="e">
        <f>SUM(#REF!+#REF!)</f>
        <v>#REF!</v>
      </c>
      <c r="F96" s="173" t="e">
        <f>#REF!</f>
        <v>#REF!</v>
      </c>
      <c r="G96" s="174" t="e">
        <f t="shared" si="13"/>
        <v>#REF!</v>
      </c>
    </row>
    <row r="97" spans="4:7" ht="12.75" hidden="1">
      <c r="D97" s="172">
        <f t="shared" si="14"/>
        <v>47000</v>
      </c>
      <c r="E97" s="172" t="e">
        <f>SUM(#REF!+#REF!)</f>
        <v>#REF!</v>
      </c>
      <c r="F97" s="173" t="e">
        <f>#REF!</f>
        <v>#REF!</v>
      </c>
      <c r="G97" s="174" t="e">
        <f t="shared" si="13"/>
        <v>#REF!</v>
      </c>
    </row>
    <row r="98" spans="4:7" ht="13.5" hidden="1" thickBot="1">
      <c r="D98" s="177" t="e">
        <f>SUM(D77:D97)</f>
        <v>#REF!</v>
      </c>
      <c r="E98" s="177" t="e">
        <f>SUM(E77:E97)</f>
        <v>#REF!</v>
      </c>
      <c r="F98" s="176" t="e">
        <f>SUM(F77:F97)</f>
        <v>#REF!</v>
      </c>
      <c r="G98" s="178" t="e">
        <f>SUM(G77:G97)</f>
        <v>#REF!</v>
      </c>
    </row>
    <row r="99" ht="12.75" hidden="1"/>
    <row r="101" ht="13.5" customHeight="1"/>
  </sheetData>
  <sheetProtection selectLockedCells="1" selectUnlockedCells="1"/>
  <mergeCells count="8">
    <mergeCell ref="L1:S1"/>
    <mergeCell ref="A3:B3"/>
    <mergeCell ref="B4:C4"/>
    <mergeCell ref="G7:I7"/>
    <mergeCell ref="A7:F7"/>
    <mergeCell ref="P2:T2"/>
    <mergeCell ref="J7:L7"/>
    <mergeCell ref="M7:P7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8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4"/>
  <sheetViews>
    <sheetView zoomScaleSheetLayoutView="110" zoomScalePageLayoutView="0" workbookViewId="0" topLeftCell="A31">
      <selection activeCell="F62" sqref="F62"/>
    </sheetView>
  </sheetViews>
  <sheetFormatPr defaultColWidth="9.140625" defaultRowHeight="12.75" outlineLevelRow="1"/>
  <cols>
    <col min="1" max="1" width="11.8515625" style="0" customWidth="1"/>
    <col min="2" max="2" width="17.8515625" style="0" customWidth="1"/>
    <col min="3" max="3" width="16.28125" style="0" customWidth="1"/>
    <col min="4" max="4" width="11.140625" style="0" customWidth="1"/>
    <col min="5" max="5" width="14.421875" style="0" customWidth="1"/>
    <col min="6" max="6" width="15.8515625" style="0" customWidth="1"/>
    <col min="11" max="11" width="3.7109375" style="0" customWidth="1"/>
    <col min="12" max="12" width="9.140625" style="0" hidden="1" customWidth="1"/>
    <col min="14" max="15" width="14.7109375" style="0" customWidth="1"/>
    <col min="16" max="16" width="15.57421875" style="0" customWidth="1"/>
  </cols>
  <sheetData>
    <row r="1" spans="1:10" ht="12.75" customHeight="1">
      <c r="A1" s="873" t="s">
        <v>98</v>
      </c>
      <c r="B1" s="873"/>
      <c r="C1" s="254"/>
      <c r="D1" s="254"/>
      <c r="E1" s="254"/>
      <c r="F1" s="254"/>
      <c r="G1" s="255"/>
      <c r="H1" s="255"/>
      <c r="I1" s="256"/>
      <c r="J1" s="256"/>
    </row>
    <row r="2" spans="1:10" ht="12.75">
      <c r="A2" s="874"/>
      <c r="B2" s="874"/>
      <c r="C2" s="254"/>
      <c r="D2" s="254"/>
      <c r="E2" s="254"/>
      <c r="F2" s="254"/>
      <c r="G2" s="255"/>
      <c r="H2" s="255"/>
      <c r="I2" s="256"/>
      <c r="J2" s="256"/>
    </row>
    <row r="3" spans="1:10" ht="12.75">
      <c r="A3" s="875"/>
      <c r="B3" s="875"/>
      <c r="C3" s="254"/>
      <c r="D3" s="254"/>
      <c r="E3" s="254"/>
      <c r="F3" s="254"/>
      <c r="G3" s="255"/>
      <c r="H3" s="255"/>
      <c r="I3" s="256"/>
      <c r="J3" s="256"/>
    </row>
    <row r="4" spans="1:10" ht="19.5" customHeight="1">
      <c r="A4" s="876" t="s">
        <v>99</v>
      </c>
      <c r="B4" s="876"/>
      <c r="C4" s="254"/>
      <c r="D4" s="254"/>
      <c r="E4" s="254"/>
      <c r="F4" s="254"/>
      <c r="G4" s="255"/>
      <c r="H4" s="255"/>
      <c r="I4" s="256"/>
      <c r="J4" s="256"/>
    </row>
    <row r="5" spans="1:10" ht="12.75">
      <c r="A5" s="254"/>
      <c r="B5" s="254"/>
      <c r="C5" s="254"/>
      <c r="D5" s="254"/>
      <c r="E5" s="254"/>
      <c r="F5" s="254"/>
      <c r="G5" s="255"/>
      <c r="H5" s="255"/>
      <c r="I5" s="256"/>
      <c r="J5" s="256"/>
    </row>
    <row r="6" spans="1:10" ht="12.75" customHeight="1">
      <c r="A6" s="877" t="s">
        <v>100</v>
      </c>
      <c r="B6" s="877"/>
      <c r="C6" s="254"/>
      <c r="D6" s="254"/>
      <c r="E6" s="254"/>
      <c r="F6" s="254"/>
      <c r="G6" s="255"/>
      <c r="H6" s="255"/>
      <c r="I6" s="256"/>
      <c r="J6" s="256"/>
    </row>
    <row r="7" spans="1:10" ht="12.75">
      <c r="A7" s="254"/>
      <c r="B7" s="254"/>
      <c r="C7" s="254"/>
      <c r="D7" s="254"/>
      <c r="E7" s="254"/>
      <c r="F7" s="254"/>
      <c r="G7" s="255"/>
      <c r="H7" s="255"/>
      <c r="I7" s="256"/>
      <c r="J7" s="256"/>
    </row>
    <row r="8" spans="1:10" ht="25.5" customHeight="1">
      <c r="A8" s="878" t="s">
        <v>101</v>
      </c>
      <c r="B8" s="878"/>
      <c r="C8" s="878"/>
      <c r="D8" s="878"/>
      <c r="E8" s="878"/>
      <c r="F8" s="878"/>
      <c r="G8" s="255"/>
      <c r="H8" s="255"/>
      <c r="I8" s="256"/>
      <c r="J8" s="256"/>
    </row>
    <row r="9" spans="1:10" ht="12.75">
      <c r="A9" s="256"/>
      <c r="B9" s="255"/>
      <c r="C9" s="255"/>
      <c r="D9" s="255"/>
      <c r="E9" s="257"/>
      <c r="F9" s="258"/>
      <c r="G9" s="255"/>
      <c r="H9" s="255"/>
      <c r="I9" s="256"/>
      <c r="J9" s="256"/>
    </row>
    <row r="10" spans="1:10" ht="12.75">
      <c r="A10" s="256"/>
      <c r="B10" s="255"/>
      <c r="C10" s="255"/>
      <c r="D10" s="255"/>
      <c r="E10" s="257"/>
      <c r="F10" s="258"/>
      <c r="G10" s="255"/>
      <c r="H10" s="255"/>
      <c r="I10" s="256"/>
      <c r="J10" s="256"/>
    </row>
    <row r="11" spans="1:10" ht="12.75">
      <c r="A11" s="256" t="s">
        <v>102</v>
      </c>
      <c r="B11" s="255"/>
      <c r="C11" s="255"/>
      <c r="D11" s="255"/>
      <c r="E11" s="259">
        <v>0.0589</v>
      </c>
      <c r="F11" s="258"/>
      <c r="G11" s="255"/>
      <c r="H11" s="255"/>
      <c r="I11" s="256"/>
      <c r="J11" s="256"/>
    </row>
    <row r="12" spans="1:10" ht="12.75">
      <c r="A12" s="256" t="s">
        <v>103</v>
      </c>
      <c r="B12" s="255"/>
      <c r="C12" s="255"/>
      <c r="D12" s="255"/>
      <c r="E12" s="260">
        <v>0.0164</v>
      </c>
      <c r="F12" s="258"/>
      <c r="G12" s="255"/>
      <c r="H12" s="255"/>
      <c r="I12" s="256"/>
      <c r="J12" s="256"/>
    </row>
    <row r="13" spans="1:10" ht="12.75">
      <c r="A13" s="256" t="s">
        <v>104</v>
      </c>
      <c r="B13" s="255"/>
      <c r="C13" s="255"/>
      <c r="D13" s="255"/>
      <c r="E13" s="261">
        <v>44135</v>
      </c>
      <c r="F13" s="258"/>
      <c r="G13" s="255"/>
      <c r="H13" s="255"/>
      <c r="I13" s="256"/>
      <c r="J13" s="256"/>
    </row>
    <row r="14" spans="1:15" ht="12.75">
      <c r="A14" s="256"/>
      <c r="B14" s="255"/>
      <c r="C14" s="255"/>
      <c r="D14" s="255"/>
      <c r="E14" s="262"/>
      <c r="F14" s="258"/>
      <c r="G14" s="255"/>
      <c r="H14" s="255"/>
      <c r="I14" s="256"/>
      <c r="J14" s="256"/>
      <c r="M14" s="869" t="s">
        <v>105</v>
      </c>
      <c r="N14" s="869"/>
      <c r="O14" s="869"/>
    </row>
    <row r="15" spans="1:15" ht="12.75">
      <c r="A15" s="870" t="s">
        <v>106</v>
      </c>
      <c r="B15" s="870"/>
      <c r="C15" s="870"/>
      <c r="D15" s="870"/>
      <c r="E15" s="870"/>
      <c r="F15" s="870"/>
      <c r="G15" s="255"/>
      <c r="H15" s="255"/>
      <c r="I15" s="256"/>
      <c r="J15" s="256"/>
      <c r="M15" s="869"/>
      <c r="N15" s="869"/>
      <c r="O15" s="869"/>
    </row>
    <row r="16" spans="1:15" ht="13.5" customHeight="1">
      <c r="A16" s="871" t="s">
        <v>107</v>
      </c>
      <c r="B16" s="871"/>
      <c r="C16" s="871"/>
      <c r="D16" s="871"/>
      <c r="E16" s="871"/>
      <c r="F16" s="871"/>
      <c r="G16" s="255"/>
      <c r="H16" s="255"/>
      <c r="I16" s="256"/>
      <c r="J16" s="256"/>
      <c r="M16" s="869"/>
      <c r="N16" s="869"/>
      <c r="O16" s="869"/>
    </row>
    <row r="17" spans="1:15" ht="23.25" customHeight="1">
      <c r="A17" s="871" t="s">
        <v>108</v>
      </c>
      <c r="B17" s="871"/>
      <c r="C17" s="871"/>
      <c r="D17" s="871"/>
      <c r="E17" s="871"/>
      <c r="F17" s="871"/>
      <c r="G17" s="255"/>
      <c r="H17" s="255"/>
      <c r="I17" s="256"/>
      <c r="J17" s="256"/>
      <c r="M17" s="263" t="s">
        <v>109</v>
      </c>
      <c r="N17" s="264" t="s">
        <v>110</v>
      </c>
      <c r="O17" s="264" t="s">
        <v>111</v>
      </c>
    </row>
    <row r="18" spans="1:15" ht="12.75" customHeight="1">
      <c r="A18" s="872" t="s">
        <v>112</v>
      </c>
      <c r="B18" s="872"/>
      <c r="C18" s="872"/>
      <c r="D18" s="872"/>
      <c r="E18" s="872"/>
      <c r="F18" s="872"/>
      <c r="G18" s="255"/>
      <c r="H18" s="255"/>
      <c r="I18" s="256"/>
      <c r="J18" s="256"/>
      <c r="M18" s="265">
        <v>2021</v>
      </c>
      <c r="N18" s="760"/>
      <c r="O18" s="760">
        <v>21000</v>
      </c>
    </row>
    <row r="19" spans="1:15" ht="12.75">
      <c r="A19" s="267"/>
      <c r="B19" s="268"/>
      <c r="C19" s="268"/>
      <c r="D19" s="268"/>
      <c r="E19" s="269"/>
      <c r="F19" s="270"/>
      <c r="G19" s="255"/>
      <c r="H19" s="255"/>
      <c r="I19" s="256"/>
      <c r="J19" s="256"/>
      <c r="M19" s="265">
        <v>2022</v>
      </c>
      <c r="N19" s="760">
        <f>F45</f>
        <v>972484.4542465755</v>
      </c>
      <c r="O19" s="760">
        <f>D45</f>
        <v>15000</v>
      </c>
    </row>
    <row r="20" spans="1:15" ht="12.75">
      <c r="A20" s="256"/>
      <c r="B20" s="255"/>
      <c r="C20" s="255"/>
      <c r="D20" s="255"/>
      <c r="E20" s="257"/>
      <c r="F20" s="258"/>
      <c r="G20" s="255"/>
      <c r="H20" s="255"/>
      <c r="I20" s="256"/>
      <c r="J20" s="256"/>
      <c r="M20" s="265">
        <v>2023</v>
      </c>
      <c r="N20" s="266">
        <f>F55</f>
        <v>937998.0684931508</v>
      </c>
      <c r="O20" s="266">
        <f>D55</f>
        <v>8610000</v>
      </c>
    </row>
    <row r="21" spans="1:15" ht="12.75" outlineLevel="1">
      <c r="A21" s="864" t="s">
        <v>113</v>
      </c>
      <c r="B21" s="864"/>
      <c r="C21" s="864"/>
      <c r="D21" s="864"/>
      <c r="E21" s="864"/>
      <c r="F21" s="864"/>
      <c r="G21" s="864"/>
      <c r="H21" s="864"/>
      <c r="I21" s="256"/>
      <c r="J21" s="256"/>
      <c r="M21" s="265">
        <v>2024</v>
      </c>
      <c r="N21" s="266">
        <f>F65</f>
        <v>384868.40876712336</v>
      </c>
      <c r="O21" s="266">
        <f>D65</f>
        <v>2500000</v>
      </c>
    </row>
    <row r="22" spans="1:15" ht="12.75" outlineLevel="1">
      <c r="A22" s="271"/>
      <c r="B22" s="272"/>
      <c r="C22" s="272"/>
      <c r="D22" s="272"/>
      <c r="E22" s="273"/>
      <c r="F22" s="274"/>
      <c r="G22" s="272"/>
      <c r="H22" s="275"/>
      <c r="I22" s="256"/>
      <c r="J22" s="256"/>
      <c r="M22" s="265">
        <v>2025</v>
      </c>
      <c r="N22" s="266">
        <f>F75</f>
        <v>290206.2</v>
      </c>
      <c r="O22" s="266">
        <f>D75</f>
        <v>0</v>
      </c>
    </row>
    <row r="23" spans="1:15" ht="22.5" outlineLevel="1">
      <c r="A23" s="276" t="s">
        <v>114</v>
      </c>
      <c r="B23" s="277" t="s">
        <v>115</v>
      </c>
      <c r="C23" s="277" t="s">
        <v>116</v>
      </c>
      <c r="D23" s="277" t="s">
        <v>117</v>
      </c>
      <c r="E23" s="278" t="s">
        <v>118</v>
      </c>
      <c r="F23" s="279" t="s">
        <v>48</v>
      </c>
      <c r="G23" s="277"/>
      <c r="H23" s="280"/>
      <c r="I23" s="256"/>
      <c r="J23" s="256"/>
      <c r="M23" s="265">
        <v>2026</v>
      </c>
      <c r="N23" s="266">
        <f>F85</f>
        <v>290206.2</v>
      </c>
      <c r="O23" s="266">
        <f>D85</f>
        <v>0</v>
      </c>
    </row>
    <row r="24" spans="1:15" ht="12.75" outlineLevel="1">
      <c r="A24" s="281" t="s">
        <v>119</v>
      </c>
      <c r="B24" s="282"/>
      <c r="C24" s="283">
        <v>15000000</v>
      </c>
      <c r="D24" s="282"/>
      <c r="E24" s="284"/>
      <c r="F24" s="285"/>
      <c r="G24" s="282"/>
      <c r="H24" s="286"/>
      <c r="I24" s="256"/>
      <c r="J24" s="256"/>
      <c r="M24" s="265">
        <v>2027</v>
      </c>
      <c r="N24" s="266">
        <f>F95</f>
        <v>290206.2</v>
      </c>
      <c r="O24" s="266">
        <f>D95</f>
        <v>0</v>
      </c>
    </row>
    <row r="25" spans="1:15" ht="12.75" outlineLevel="1">
      <c r="A25" s="287">
        <v>44195</v>
      </c>
      <c r="B25" s="288"/>
      <c r="C25" s="288">
        <f>C24</f>
        <v>15000000</v>
      </c>
      <c r="D25" s="288"/>
      <c r="E25" s="289"/>
      <c r="F25" s="274"/>
      <c r="G25" s="288"/>
      <c r="H25" s="290"/>
      <c r="I25" s="256"/>
      <c r="J25" s="256"/>
      <c r="M25" s="265">
        <v>2028</v>
      </c>
      <c r="N25" s="266">
        <f>F105</f>
        <v>276792.278630137</v>
      </c>
      <c r="O25" s="266">
        <f>D105</f>
        <v>500000</v>
      </c>
    </row>
    <row r="26" spans="1:15" ht="12.75" outlineLevel="1">
      <c r="A26" s="291"/>
      <c r="B26" s="282"/>
      <c r="C26" s="282"/>
      <c r="D26" s="282"/>
      <c r="E26" s="284"/>
      <c r="F26" s="285"/>
      <c r="G26" s="282"/>
      <c r="H26" s="286"/>
      <c r="I26" s="256"/>
      <c r="J26" s="256"/>
      <c r="M26" s="265">
        <v>2029</v>
      </c>
      <c r="N26" s="266">
        <f>F115</f>
        <v>238347.19315068494</v>
      </c>
      <c r="O26" s="266">
        <f>D115</f>
        <v>500000</v>
      </c>
    </row>
    <row r="27" spans="1:15" ht="12.75" outlineLevel="1">
      <c r="A27" s="864" t="s">
        <v>113</v>
      </c>
      <c r="B27" s="864"/>
      <c r="C27" s="864"/>
      <c r="D27" s="864"/>
      <c r="E27" s="864"/>
      <c r="F27" s="864"/>
      <c r="G27" s="864"/>
      <c r="H27" s="864"/>
      <c r="I27" s="256"/>
      <c r="J27" s="256"/>
      <c r="M27" s="265">
        <v>2030</v>
      </c>
      <c r="N27" s="266">
        <f>F125</f>
        <v>200697.19315068494</v>
      </c>
      <c r="O27" s="266">
        <f>D125</f>
        <v>500000</v>
      </c>
    </row>
    <row r="28" spans="1:15" ht="12.75" outlineLevel="1">
      <c r="A28" s="271"/>
      <c r="B28" s="272"/>
      <c r="C28" s="272"/>
      <c r="D28" s="272"/>
      <c r="E28" s="273"/>
      <c r="F28" s="274"/>
      <c r="G28" s="272"/>
      <c r="H28" s="275"/>
      <c r="I28" s="256"/>
      <c r="J28" s="256"/>
      <c r="M28" s="265">
        <v>2031</v>
      </c>
      <c r="N28" s="266">
        <f>F135</f>
        <v>158727.65506849316</v>
      </c>
      <c r="O28" s="266">
        <f>D135</f>
        <v>652000</v>
      </c>
    </row>
    <row r="29" spans="1:15" ht="22.5" outlineLevel="1">
      <c r="A29" s="292" t="s">
        <v>114</v>
      </c>
      <c r="B29" s="293" t="s">
        <v>115</v>
      </c>
      <c r="C29" s="293" t="s">
        <v>116</v>
      </c>
      <c r="D29" s="293" t="s">
        <v>117</v>
      </c>
      <c r="E29" s="294" t="s">
        <v>118</v>
      </c>
      <c r="F29" s="295" t="s">
        <v>48</v>
      </c>
      <c r="G29" s="293"/>
      <c r="H29" s="280"/>
      <c r="I29" s="256"/>
      <c r="J29" s="256"/>
      <c r="M29" s="265">
        <v>2032</v>
      </c>
      <c r="N29" s="266">
        <f>F145</f>
        <v>117448.81397260277</v>
      </c>
      <c r="O29" s="266">
        <f>D145</f>
        <v>195000</v>
      </c>
    </row>
    <row r="30" spans="1:15" ht="12.75" outlineLevel="1">
      <c r="A30" s="296" t="s">
        <v>120</v>
      </c>
      <c r="B30" s="297"/>
      <c r="C30" s="297">
        <f>C24</f>
        <v>15000000</v>
      </c>
      <c r="D30" s="297"/>
      <c r="E30" s="298"/>
      <c r="F30" s="299"/>
      <c r="G30" s="297"/>
      <c r="H30" s="286"/>
      <c r="I30" s="256"/>
      <c r="J30" s="256"/>
      <c r="M30" s="265">
        <v>2033</v>
      </c>
      <c r="N30" s="266">
        <f>F155</f>
        <v>102414.1890410959</v>
      </c>
      <c r="O30" s="266">
        <f>D155</f>
        <v>195000</v>
      </c>
    </row>
    <row r="31" spans="1:15" ht="12.75" outlineLevel="1">
      <c r="A31" s="300">
        <v>44286</v>
      </c>
      <c r="B31" s="297">
        <f>A31-A25</f>
        <v>91</v>
      </c>
      <c r="C31" s="297">
        <f>C30-D31</f>
        <v>14994750</v>
      </c>
      <c r="D31" s="297">
        <v>5250</v>
      </c>
      <c r="E31" s="301">
        <f>$E$11+$E$12</f>
        <v>0.0753</v>
      </c>
      <c r="F31" s="299">
        <f>B31*C30*E31/I31</f>
        <v>281601.36986301374</v>
      </c>
      <c r="G31" s="297"/>
      <c r="H31" s="286"/>
      <c r="I31" s="256">
        <v>365</v>
      </c>
      <c r="J31" s="256"/>
      <c r="M31" s="265">
        <v>2034</v>
      </c>
      <c r="N31" s="266">
        <f>F165</f>
        <v>87730.68904109589</v>
      </c>
      <c r="O31" s="266">
        <f>D165</f>
        <v>195000</v>
      </c>
    </row>
    <row r="32" spans="1:15" ht="12.75" outlineLevel="1">
      <c r="A32" s="300">
        <v>44377</v>
      </c>
      <c r="B32" s="297">
        <f>A32-A31</f>
        <v>91</v>
      </c>
      <c r="C32" s="297">
        <f>C31-D32</f>
        <v>14989500</v>
      </c>
      <c r="D32" s="297">
        <v>5250</v>
      </c>
      <c r="E32" s="301">
        <f>$E$11+$E$12</f>
        <v>0.0753</v>
      </c>
      <c r="F32" s="299">
        <f>B32*C31*E32/I32</f>
        <v>281502.80938356166</v>
      </c>
      <c r="G32" s="297"/>
      <c r="H32" s="286"/>
      <c r="I32" s="256">
        <v>365</v>
      </c>
      <c r="J32" s="256"/>
      <c r="M32" s="265">
        <v>2035</v>
      </c>
      <c r="N32" s="266">
        <f>F175</f>
        <v>73047.18904109589</v>
      </c>
      <c r="O32" s="266">
        <f>D175</f>
        <v>195000</v>
      </c>
    </row>
    <row r="33" spans="1:15" ht="12.75" outlineLevel="1">
      <c r="A33" s="300">
        <v>44469</v>
      </c>
      <c r="B33" s="297">
        <f>A33-A32</f>
        <v>92</v>
      </c>
      <c r="C33" s="297">
        <f>C32-D33</f>
        <v>14984250</v>
      </c>
      <c r="D33" s="297">
        <v>5250</v>
      </c>
      <c r="E33" s="301">
        <f>$E$11+$E$12</f>
        <v>0.0753</v>
      </c>
      <c r="F33" s="299">
        <f>B33*C32*E33/I33</f>
        <v>284496.6032876712</v>
      </c>
      <c r="G33" s="297"/>
      <c r="H33" s="286"/>
      <c r="I33" s="256">
        <v>365</v>
      </c>
      <c r="J33" s="256"/>
      <c r="M33" s="265">
        <v>2036</v>
      </c>
      <c r="N33" s="266">
        <f>F185</f>
        <v>58553.89890410959</v>
      </c>
      <c r="O33" s="266">
        <f>D185</f>
        <v>195000</v>
      </c>
    </row>
    <row r="34" spans="1:15" ht="12.75" outlineLevel="1">
      <c r="A34" s="300">
        <v>44561</v>
      </c>
      <c r="B34" s="297">
        <f>A34-A33</f>
        <v>92</v>
      </c>
      <c r="C34" s="297">
        <f>C33-D34</f>
        <v>14979000</v>
      </c>
      <c r="D34" s="297">
        <v>5250</v>
      </c>
      <c r="E34" s="301">
        <f>$E$11+$E$12</f>
        <v>0.0753</v>
      </c>
      <c r="F34" s="299">
        <f>B34*C33*E34/I34</f>
        <v>284396.95972602745</v>
      </c>
      <c r="G34" s="297"/>
      <c r="H34" s="286"/>
      <c r="I34" s="256">
        <v>365</v>
      </c>
      <c r="J34" s="256"/>
      <c r="M34" s="265">
        <v>2037</v>
      </c>
      <c r="N34" s="266">
        <f>F195</f>
        <v>39425.22328767123</v>
      </c>
      <c r="O34" s="266">
        <f>D195</f>
        <v>270000</v>
      </c>
    </row>
    <row r="35" spans="1:15" ht="12.75" outlineLevel="1">
      <c r="A35" s="302"/>
      <c r="B35" s="303"/>
      <c r="C35" s="303">
        <f>C34</f>
        <v>14979000</v>
      </c>
      <c r="D35" s="303">
        <f>SUM(D31:D34)</f>
        <v>21000</v>
      </c>
      <c r="E35" s="304"/>
      <c r="F35" s="305">
        <f>SUM(F31:F34)</f>
        <v>1131997.742260274</v>
      </c>
      <c r="G35" s="303"/>
      <c r="H35" s="290"/>
      <c r="I35" s="256"/>
      <c r="J35" s="256"/>
      <c r="M35" s="265">
        <v>2038</v>
      </c>
      <c r="N35" s="266">
        <f>F205</f>
        <v>19094.223287671233</v>
      </c>
      <c r="O35" s="266">
        <f>D205</f>
        <v>270000</v>
      </c>
    </row>
    <row r="36" spans="1:15" ht="12.75" outlineLevel="1">
      <c r="A36" s="291"/>
      <c r="B36" s="282"/>
      <c r="C36" s="282"/>
      <c r="D36" s="282"/>
      <c r="E36" s="284"/>
      <c r="F36" s="285"/>
      <c r="G36" s="282"/>
      <c r="H36" s="286"/>
      <c r="I36" s="256"/>
      <c r="J36" s="256"/>
      <c r="M36" s="265">
        <v>2039</v>
      </c>
      <c r="N36" s="266">
        <f>F215</f>
        <v>10109.798630136987</v>
      </c>
      <c r="O36" s="266">
        <f>D215</f>
        <v>70000</v>
      </c>
    </row>
    <row r="37" spans="1:15" ht="12.75" outlineLevel="1">
      <c r="A37" s="864" t="s">
        <v>113</v>
      </c>
      <c r="B37" s="864"/>
      <c r="C37" s="864"/>
      <c r="D37" s="864"/>
      <c r="E37" s="864"/>
      <c r="F37" s="864"/>
      <c r="G37" s="864"/>
      <c r="H37" s="864"/>
      <c r="I37" s="256"/>
      <c r="J37" s="256"/>
      <c r="M37" s="265">
        <v>2040</v>
      </c>
      <c r="N37" s="266">
        <f>F225</f>
        <v>4862.9358904109595</v>
      </c>
      <c r="O37" s="266">
        <f>D225</f>
        <v>70000</v>
      </c>
    </row>
    <row r="38" spans="1:15" ht="12.75" outlineLevel="1">
      <c r="A38" s="271"/>
      <c r="B38" s="272"/>
      <c r="C38" s="272"/>
      <c r="D38" s="272"/>
      <c r="E38" s="273"/>
      <c r="F38" s="274"/>
      <c r="G38" s="272"/>
      <c r="H38" s="275"/>
      <c r="I38" s="256"/>
      <c r="J38" s="256"/>
      <c r="M38" s="265">
        <v>2041</v>
      </c>
      <c r="N38" s="266">
        <f>F235</f>
        <v>872.654794520548</v>
      </c>
      <c r="O38" s="266">
        <f>D235</f>
        <v>47000</v>
      </c>
    </row>
    <row r="39" spans="1:15" ht="22.5" outlineLevel="1">
      <c r="A39" s="745" t="s">
        <v>114</v>
      </c>
      <c r="B39" s="746" t="s">
        <v>115</v>
      </c>
      <c r="C39" s="746" t="s">
        <v>116</v>
      </c>
      <c r="D39" s="746" t="s">
        <v>117</v>
      </c>
      <c r="E39" s="747" t="s">
        <v>118</v>
      </c>
      <c r="F39" s="748" t="s">
        <v>48</v>
      </c>
      <c r="G39" s="746"/>
      <c r="H39" s="280"/>
      <c r="I39" s="256"/>
      <c r="J39" s="256"/>
      <c r="M39" s="265" t="s">
        <v>42</v>
      </c>
      <c r="N39" s="306">
        <f>SUM(N20:N38)</f>
        <v>3581609.013150685</v>
      </c>
      <c r="O39" s="306">
        <f>SUM(O20:O38)</f>
        <v>14964000</v>
      </c>
    </row>
    <row r="40" spans="1:10" ht="12.75" outlineLevel="1">
      <c r="A40" s="749" t="s">
        <v>121</v>
      </c>
      <c r="B40" s="750"/>
      <c r="C40" s="750">
        <f>C35</f>
        <v>14979000</v>
      </c>
      <c r="D40" s="750"/>
      <c r="E40" s="751"/>
      <c r="F40" s="752"/>
      <c r="G40" s="750"/>
      <c r="H40" s="286"/>
      <c r="I40" s="256"/>
      <c r="J40" s="256"/>
    </row>
    <row r="41" spans="1:10" ht="12.75" outlineLevel="1">
      <c r="A41" s="753">
        <v>44651</v>
      </c>
      <c r="B41" s="750">
        <f>A41-A34</f>
        <v>90</v>
      </c>
      <c r="C41" s="750">
        <f>C40-D41</f>
        <v>14975250</v>
      </c>
      <c r="D41" s="750">
        <v>3750</v>
      </c>
      <c r="E41" s="754">
        <f>$E$11+$E$12</f>
        <v>0.0753</v>
      </c>
      <c r="F41" s="752">
        <v>147367.95</v>
      </c>
      <c r="G41" s="750"/>
      <c r="H41" s="286"/>
      <c r="I41" s="256">
        <v>365</v>
      </c>
      <c r="J41" s="256"/>
    </row>
    <row r="42" spans="1:10" ht="12.75" outlineLevel="1">
      <c r="A42" s="753">
        <v>44742</v>
      </c>
      <c r="B42" s="750">
        <f>A42-A41</f>
        <v>91</v>
      </c>
      <c r="C42" s="750">
        <f>C41-D42</f>
        <v>14971500</v>
      </c>
      <c r="D42" s="750">
        <v>3750</v>
      </c>
      <c r="E42" s="754">
        <f>$E$11+$E$12</f>
        <v>0.0753</v>
      </c>
      <c r="F42" s="752">
        <v>220651.69</v>
      </c>
      <c r="G42" s="750"/>
      <c r="H42" s="286"/>
      <c r="I42" s="256">
        <v>365</v>
      </c>
      <c r="J42" s="256"/>
    </row>
    <row r="43" spans="1:10" ht="12.75" outlineLevel="1">
      <c r="A43" s="753">
        <v>44834</v>
      </c>
      <c r="B43" s="750">
        <f>A43-A42</f>
        <v>92</v>
      </c>
      <c r="C43" s="750">
        <f>C42-D43</f>
        <v>14967750</v>
      </c>
      <c r="D43" s="750">
        <v>3750</v>
      </c>
      <c r="E43" s="754">
        <f>$E$11+$E$12</f>
        <v>0.0753</v>
      </c>
      <c r="F43" s="752">
        <v>320381.02</v>
      </c>
      <c r="G43" s="750"/>
      <c r="H43" s="286"/>
      <c r="I43" s="256">
        <v>365</v>
      </c>
      <c r="J43" s="256"/>
    </row>
    <row r="44" spans="1:10" ht="12.75" outlineLevel="1">
      <c r="A44" s="753">
        <v>44926</v>
      </c>
      <c r="B44" s="750">
        <f>A44-A43</f>
        <v>92</v>
      </c>
      <c r="C44" s="750">
        <f>C43-D44</f>
        <v>14964000</v>
      </c>
      <c r="D44" s="750">
        <v>3750</v>
      </c>
      <c r="E44" s="754">
        <f>$E$11+$E$12</f>
        <v>0.0753</v>
      </c>
      <c r="F44" s="752">
        <f>B44*C43*E44/I44</f>
        <v>284083.7942465754</v>
      </c>
      <c r="G44" s="750"/>
      <c r="H44" s="286"/>
      <c r="I44" s="256">
        <v>365</v>
      </c>
      <c r="J44" s="256"/>
    </row>
    <row r="45" spans="1:10" ht="12.75" outlineLevel="1">
      <c r="A45" s="755"/>
      <c r="B45" s="756"/>
      <c r="C45" s="756">
        <f>C44</f>
        <v>14964000</v>
      </c>
      <c r="D45" s="756">
        <f>SUM(D41:D44)</f>
        <v>15000</v>
      </c>
      <c r="E45" s="757"/>
      <c r="F45" s="758">
        <f>SUM(F41:F44)</f>
        <v>972484.4542465755</v>
      </c>
      <c r="G45" s="756"/>
      <c r="H45" s="290"/>
      <c r="I45" s="256"/>
      <c r="J45" s="256"/>
    </row>
    <row r="46" spans="1:10" ht="12.75" outlineLevel="1">
      <c r="A46" s="291"/>
      <c r="B46" s="282"/>
      <c r="C46" s="282"/>
      <c r="D46" s="282"/>
      <c r="E46" s="284"/>
      <c r="F46" s="285"/>
      <c r="G46" s="282"/>
      <c r="H46" s="286"/>
      <c r="I46" s="256"/>
      <c r="J46" s="256"/>
    </row>
    <row r="47" spans="1:10" ht="12.75" outlineLevel="1">
      <c r="A47" s="864" t="s">
        <v>113</v>
      </c>
      <c r="B47" s="864"/>
      <c r="C47" s="864"/>
      <c r="D47" s="864"/>
      <c r="E47" s="864"/>
      <c r="F47" s="864"/>
      <c r="G47" s="864"/>
      <c r="H47" s="864"/>
      <c r="I47" s="256"/>
      <c r="J47" s="256"/>
    </row>
    <row r="48" spans="1:10" ht="12.75" outlineLevel="1">
      <c r="A48" s="271"/>
      <c r="B48" s="272"/>
      <c r="C48" s="272"/>
      <c r="D48" s="272"/>
      <c r="E48" s="273"/>
      <c r="F48" s="274"/>
      <c r="G48" s="272"/>
      <c r="H48" s="275"/>
      <c r="I48" s="256"/>
      <c r="J48" s="256"/>
    </row>
    <row r="49" spans="1:10" ht="22.5" outlineLevel="1">
      <c r="A49" s="276" t="s">
        <v>114</v>
      </c>
      <c r="B49" s="277" t="s">
        <v>115</v>
      </c>
      <c r="C49" s="277" t="s">
        <v>116</v>
      </c>
      <c r="D49" s="277" t="s">
        <v>117</v>
      </c>
      <c r="E49" s="278" t="s">
        <v>118</v>
      </c>
      <c r="F49" s="279" t="s">
        <v>48</v>
      </c>
      <c r="G49" s="277"/>
      <c r="H49" s="280"/>
      <c r="I49" s="256"/>
      <c r="J49" s="256"/>
    </row>
    <row r="50" spans="1:10" ht="12.75" outlineLevel="1">
      <c r="A50" s="281" t="s">
        <v>122</v>
      </c>
      <c r="B50" s="282"/>
      <c r="C50" s="282">
        <f>C45</f>
        <v>14964000</v>
      </c>
      <c r="D50" s="282"/>
      <c r="E50" s="284"/>
      <c r="F50" s="285"/>
      <c r="G50" s="282"/>
      <c r="H50" s="286"/>
      <c r="I50" s="256"/>
      <c r="J50" s="256"/>
    </row>
    <row r="51" spans="1:10" ht="12.75" outlineLevel="1">
      <c r="A51" s="307">
        <v>45016</v>
      </c>
      <c r="B51" s="282">
        <f>A51-A44</f>
        <v>90</v>
      </c>
      <c r="C51" s="282">
        <f>C50-D51</f>
        <v>13957750</v>
      </c>
      <c r="D51" s="282">
        <v>1006250</v>
      </c>
      <c r="E51" s="308">
        <f>$E$11+$E$12</f>
        <v>0.0753</v>
      </c>
      <c r="F51" s="784">
        <v>322849.21</v>
      </c>
      <c r="G51" s="282"/>
      <c r="H51" s="286"/>
      <c r="I51" s="256">
        <v>365</v>
      </c>
      <c r="J51" s="256"/>
    </row>
    <row r="52" spans="1:10" ht="12.75" outlineLevel="1">
      <c r="A52" s="307">
        <v>45107</v>
      </c>
      <c r="B52" s="282">
        <f>A52-A51</f>
        <v>91</v>
      </c>
      <c r="C52" s="282">
        <f>C51-D52</f>
        <v>12951500</v>
      </c>
      <c r="D52" s="742">
        <f>1006250</f>
        <v>1006250</v>
      </c>
      <c r="E52" s="308">
        <f>$E$11+$E$12</f>
        <v>0.0753</v>
      </c>
      <c r="F52" s="784">
        <v>259175.66</v>
      </c>
      <c r="G52" s="282"/>
      <c r="H52" s="286"/>
      <c r="I52" s="256">
        <v>365</v>
      </c>
      <c r="J52" s="256"/>
    </row>
    <row r="53" spans="1:10" ht="12.75" outlineLevel="1">
      <c r="A53" s="307">
        <v>45199</v>
      </c>
      <c r="B53" s="282">
        <f>A53-A52</f>
        <v>92</v>
      </c>
      <c r="C53" s="282">
        <f>C52-D53</f>
        <v>7360250</v>
      </c>
      <c r="D53" s="694">
        <f>1006250+1565000+1890000+1130000</f>
        <v>5591250</v>
      </c>
      <c r="E53" s="308">
        <f>$E$11+$E$12</f>
        <v>0.0753</v>
      </c>
      <c r="F53" s="784">
        <v>216277.67</v>
      </c>
      <c r="G53" s="282"/>
      <c r="H53" s="286"/>
      <c r="I53" s="256">
        <v>365</v>
      </c>
      <c r="J53" s="256"/>
    </row>
    <row r="54" spans="1:10" ht="12.75" outlineLevel="1">
      <c r="A54" s="307">
        <v>45291</v>
      </c>
      <c r="B54" s="282">
        <f>A54-A53</f>
        <v>92</v>
      </c>
      <c r="C54" s="282">
        <f>C53-D54</f>
        <v>6354000</v>
      </c>
      <c r="D54" s="744">
        <f>1006250</f>
        <v>1006250</v>
      </c>
      <c r="E54" s="308">
        <f>$E$11+$E$12</f>
        <v>0.0753</v>
      </c>
      <c r="F54" s="285">
        <f>B54*C53*E54/I54</f>
        <v>139695.5284931507</v>
      </c>
      <c r="G54" s="282"/>
      <c r="H54" s="286"/>
      <c r="I54" s="256">
        <v>365</v>
      </c>
      <c r="J54" s="256"/>
    </row>
    <row r="55" spans="1:10" ht="12.75" outlineLevel="1">
      <c r="A55" s="309"/>
      <c r="B55" s="288"/>
      <c r="C55" s="288">
        <f>C54</f>
        <v>6354000</v>
      </c>
      <c r="D55" s="288">
        <f>SUM(D51:D54)</f>
        <v>8610000</v>
      </c>
      <c r="E55" s="289"/>
      <c r="F55" s="274">
        <f>SUM(F51:F54)</f>
        <v>937998.0684931508</v>
      </c>
      <c r="G55" s="288"/>
      <c r="H55" s="290"/>
      <c r="I55" s="256"/>
      <c r="J55" s="256"/>
    </row>
    <row r="56" spans="1:10" ht="12.75" outlineLevel="1">
      <c r="A56" s="291"/>
      <c r="B56" s="282"/>
      <c r="C56" s="282"/>
      <c r="D56" s="282"/>
      <c r="E56" s="284"/>
      <c r="F56" s="285"/>
      <c r="G56" s="282"/>
      <c r="H56" s="282"/>
      <c r="I56" s="256"/>
      <c r="J56" s="256"/>
    </row>
    <row r="57" spans="1:10" ht="12.75" outlineLevel="1">
      <c r="A57" s="864" t="s">
        <v>113</v>
      </c>
      <c r="B57" s="864"/>
      <c r="C57" s="864"/>
      <c r="D57" s="864"/>
      <c r="E57" s="864"/>
      <c r="F57" s="864"/>
      <c r="G57" s="864"/>
      <c r="H57" s="864"/>
      <c r="I57" s="256"/>
      <c r="J57" s="256"/>
    </row>
    <row r="58" spans="1:10" ht="12.75" outlineLevel="1">
      <c r="A58" s="271"/>
      <c r="B58" s="272"/>
      <c r="C58" s="272"/>
      <c r="D58" s="272"/>
      <c r="E58" s="273"/>
      <c r="F58" s="274"/>
      <c r="G58" s="272"/>
      <c r="H58" s="275"/>
      <c r="I58" s="256"/>
      <c r="J58" s="256"/>
    </row>
    <row r="59" spans="1:10" ht="22.5" outlineLevel="1">
      <c r="A59" s="276" t="s">
        <v>114</v>
      </c>
      <c r="B59" s="277" t="s">
        <v>115</v>
      </c>
      <c r="C59" s="277" t="s">
        <v>116</v>
      </c>
      <c r="D59" s="277" t="s">
        <v>117</v>
      </c>
      <c r="E59" s="278" t="s">
        <v>118</v>
      </c>
      <c r="F59" s="279" t="s">
        <v>48</v>
      </c>
      <c r="G59" s="277"/>
      <c r="H59" s="280"/>
      <c r="I59" s="256"/>
      <c r="J59" s="256"/>
    </row>
    <row r="60" spans="1:10" ht="12.75" outlineLevel="1">
      <c r="A60" s="281" t="s">
        <v>123</v>
      </c>
      <c r="B60" s="282"/>
      <c r="C60" s="282">
        <f>C55</f>
        <v>6354000</v>
      </c>
      <c r="D60" s="282"/>
      <c r="E60" s="284"/>
      <c r="F60" s="285"/>
      <c r="G60" s="282"/>
      <c r="H60" s="286"/>
      <c r="I60" s="256"/>
      <c r="J60" s="256"/>
    </row>
    <row r="61" spans="1:10" ht="12.75" outlineLevel="1">
      <c r="A61" s="307">
        <v>45382</v>
      </c>
      <c r="B61" s="282">
        <f>A61-A54</f>
        <v>91</v>
      </c>
      <c r="C61" s="282">
        <f>C60-D61</f>
        <v>6354000</v>
      </c>
      <c r="D61" s="759"/>
      <c r="E61" s="308">
        <f>$E$11+$E$12</f>
        <v>0.0753</v>
      </c>
      <c r="F61" s="285">
        <f>B61*C60*E61/I61</f>
        <v>119286.34027397262</v>
      </c>
      <c r="G61" s="282"/>
      <c r="H61" s="286"/>
      <c r="I61" s="256">
        <v>365</v>
      </c>
      <c r="J61" s="256"/>
    </row>
    <row r="62" spans="1:10" ht="12.75" outlineLevel="1">
      <c r="A62" s="307">
        <v>45473</v>
      </c>
      <c r="B62" s="282">
        <f>A62-A61</f>
        <v>91</v>
      </c>
      <c r="C62" s="282">
        <f>C61-D62</f>
        <v>3854000</v>
      </c>
      <c r="D62" s="759">
        <v>2500000</v>
      </c>
      <c r="E62" s="308">
        <f>$E$11+$E$12</f>
        <v>0.0753</v>
      </c>
      <c r="F62" s="285">
        <f>B62*C61*E62/I62</f>
        <v>119286.34027397262</v>
      </c>
      <c r="G62" s="282"/>
      <c r="H62" s="286"/>
      <c r="I62" s="256">
        <v>365</v>
      </c>
      <c r="J62" s="256"/>
    </row>
    <row r="63" spans="1:10" ht="12.75" outlineLevel="1">
      <c r="A63" s="307">
        <v>45565</v>
      </c>
      <c r="B63" s="282">
        <f>A63-A62</f>
        <v>92</v>
      </c>
      <c r="C63" s="282">
        <f>C62-D63</f>
        <v>3854000</v>
      </c>
      <c r="D63" s="759">
        <v>0</v>
      </c>
      <c r="E63" s="308">
        <f>$E$11+$E$12</f>
        <v>0.0753</v>
      </c>
      <c r="F63" s="285">
        <f>B63*C62*E63/I63</f>
        <v>73147.86410958905</v>
      </c>
      <c r="G63" s="282"/>
      <c r="H63" s="286"/>
      <c r="I63" s="256">
        <v>365</v>
      </c>
      <c r="J63" s="256"/>
    </row>
    <row r="64" spans="1:10" ht="12.75" outlineLevel="1">
      <c r="A64" s="307">
        <v>45657</v>
      </c>
      <c r="B64" s="282">
        <f>A64-A63</f>
        <v>92</v>
      </c>
      <c r="C64" s="282">
        <f>C63-D64</f>
        <v>3854000</v>
      </c>
      <c r="D64" s="759">
        <v>0</v>
      </c>
      <c r="E64" s="308">
        <f>$E$11+$E$12</f>
        <v>0.0753</v>
      </c>
      <c r="F64" s="285">
        <f>B64*C63*E64/I64</f>
        <v>73147.86410958905</v>
      </c>
      <c r="G64" s="282"/>
      <c r="H64" s="286"/>
      <c r="I64" s="256">
        <v>365</v>
      </c>
      <c r="J64" s="256"/>
    </row>
    <row r="65" spans="1:10" ht="12.75" outlineLevel="1">
      <c r="A65" s="309"/>
      <c r="B65" s="288"/>
      <c r="C65" s="288">
        <f>C64</f>
        <v>3854000</v>
      </c>
      <c r="D65" s="698">
        <f>SUM(D61:D64)</f>
        <v>2500000</v>
      </c>
      <c r="E65" s="289"/>
      <c r="F65" s="274">
        <f>SUM(F61:F64)</f>
        <v>384868.40876712336</v>
      </c>
      <c r="G65" s="288"/>
      <c r="H65" s="290"/>
      <c r="I65" s="256"/>
      <c r="J65" s="256"/>
    </row>
    <row r="66" spans="1:10" ht="12.75" outlineLevel="1">
      <c r="A66" s="291"/>
      <c r="B66" s="282"/>
      <c r="C66" s="282"/>
      <c r="D66" s="282"/>
      <c r="E66" s="284"/>
      <c r="F66" s="285"/>
      <c r="G66" s="282"/>
      <c r="H66" s="282"/>
      <c r="I66" s="256"/>
      <c r="J66" s="256"/>
    </row>
    <row r="67" spans="1:10" ht="12.75" outlineLevel="1">
      <c r="A67" s="864" t="s">
        <v>113</v>
      </c>
      <c r="B67" s="864"/>
      <c r="C67" s="864"/>
      <c r="D67" s="864"/>
      <c r="E67" s="864"/>
      <c r="F67" s="864"/>
      <c r="G67" s="864"/>
      <c r="H67" s="864"/>
      <c r="I67" s="256"/>
      <c r="J67" s="256"/>
    </row>
    <row r="68" spans="1:10" ht="12.75" outlineLevel="1">
      <c r="A68" s="271"/>
      <c r="B68" s="272"/>
      <c r="C68" s="272"/>
      <c r="D68" s="272"/>
      <c r="E68" s="273"/>
      <c r="F68" s="274"/>
      <c r="G68" s="272"/>
      <c r="H68" s="275"/>
      <c r="I68" s="256"/>
      <c r="J68" s="256"/>
    </row>
    <row r="69" spans="1:10" ht="22.5" outlineLevel="1">
      <c r="A69" s="276" t="s">
        <v>114</v>
      </c>
      <c r="B69" s="277" t="s">
        <v>115</v>
      </c>
      <c r="C69" s="277" t="s">
        <v>116</v>
      </c>
      <c r="D69" s="277" t="s">
        <v>117</v>
      </c>
      <c r="E69" s="278" t="s">
        <v>118</v>
      </c>
      <c r="F69" s="279" t="s">
        <v>48</v>
      </c>
      <c r="G69" s="277"/>
      <c r="H69" s="280"/>
      <c r="I69" s="256"/>
      <c r="J69" s="256"/>
    </row>
    <row r="70" spans="1:10" ht="12.75" outlineLevel="1">
      <c r="A70" s="281" t="s">
        <v>124</v>
      </c>
      <c r="B70" s="282"/>
      <c r="C70" s="282">
        <f>C65</f>
        <v>3854000</v>
      </c>
      <c r="D70" s="282"/>
      <c r="E70" s="284"/>
      <c r="F70" s="285"/>
      <c r="G70" s="282"/>
      <c r="H70" s="286"/>
      <c r="I70" s="256"/>
      <c r="J70" s="256"/>
    </row>
    <row r="71" spans="1:10" ht="12.75" outlineLevel="1">
      <c r="A71" s="307">
        <v>45747</v>
      </c>
      <c r="B71" s="282">
        <f>A71-A64</f>
        <v>90</v>
      </c>
      <c r="C71" s="282">
        <f>C70-D71</f>
        <v>3854000</v>
      </c>
      <c r="D71" s="694">
        <v>0</v>
      </c>
      <c r="E71" s="308">
        <f>$E$11+$E$12</f>
        <v>0.0753</v>
      </c>
      <c r="F71" s="285">
        <f>B71*C70*E71/I71</f>
        <v>71557.69315068494</v>
      </c>
      <c r="G71" s="282"/>
      <c r="H71" s="286"/>
      <c r="I71" s="256">
        <v>365</v>
      </c>
      <c r="J71" s="256"/>
    </row>
    <row r="72" spans="1:10" ht="12.75" outlineLevel="1">
      <c r="A72" s="307">
        <v>45838</v>
      </c>
      <c r="B72" s="282">
        <f>A72-A71</f>
        <v>91</v>
      </c>
      <c r="C72" s="282">
        <f>C71-D72</f>
        <v>3854000</v>
      </c>
      <c r="D72" s="694">
        <v>0</v>
      </c>
      <c r="E72" s="308">
        <f>$E$11+$E$12</f>
        <v>0.0753</v>
      </c>
      <c r="F72" s="285">
        <f>B72*C71*E72/I72</f>
        <v>72352.77863013699</v>
      </c>
      <c r="G72" s="282"/>
      <c r="H72" s="286"/>
      <c r="I72" s="256">
        <v>365</v>
      </c>
      <c r="J72" s="256"/>
    </row>
    <row r="73" spans="1:10" ht="12.75" outlineLevel="1">
      <c r="A73" s="307">
        <v>45930</v>
      </c>
      <c r="B73" s="282">
        <f>A73-A72</f>
        <v>92</v>
      </c>
      <c r="C73" s="282">
        <f>C72-D73</f>
        <v>3854000</v>
      </c>
      <c r="D73" s="694">
        <v>0</v>
      </c>
      <c r="E73" s="308">
        <f>$E$11+$E$12</f>
        <v>0.0753</v>
      </c>
      <c r="F73" s="285">
        <f>B73*C72*E73/I73</f>
        <v>73147.86410958905</v>
      </c>
      <c r="G73" s="282"/>
      <c r="H73" s="286"/>
      <c r="I73" s="256">
        <v>365</v>
      </c>
      <c r="J73" s="256"/>
    </row>
    <row r="74" spans="1:10" ht="12.75" outlineLevel="1">
      <c r="A74" s="307">
        <v>46022</v>
      </c>
      <c r="B74" s="282">
        <f>A74-A73</f>
        <v>92</v>
      </c>
      <c r="C74" s="282">
        <f>C73-D74</f>
        <v>3854000</v>
      </c>
      <c r="D74" s="694">
        <v>0</v>
      </c>
      <c r="E74" s="308">
        <f>$E$11+$E$12</f>
        <v>0.0753</v>
      </c>
      <c r="F74" s="285">
        <f>B74*C73*E74/I74</f>
        <v>73147.86410958905</v>
      </c>
      <c r="G74" s="282"/>
      <c r="H74" s="286"/>
      <c r="I74" s="256">
        <v>365</v>
      </c>
      <c r="J74" s="256"/>
    </row>
    <row r="75" spans="1:10" ht="12.75" outlineLevel="1">
      <c r="A75" s="309"/>
      <c r="B75" s="288"/>
      <c r="C75" s="288">
        <f>C74</f>
        <v>3854000</v>
      </c>
      <c r="D75" s="743">
        <f>SUM(D71:D74)</f>
        <v>0</v>
      </c>
      <c r="E75" s="289"/>
      <c r="F75" s="274">
        <f>SUM(F71:F74)</f>
        <v>290206.2</v>
      </c>
      <c r="G75" s="288"/>
      <c r="H75" s="290"/>
      <c r="I75" s="256"/>
      <c r="J75" s="256"/>
    </row>
    <row r="76" spans="1:10" ht="12.75" outlineLevel="1">
      <c r="A76" s="291"/>
      <c r="B76" s="282"/>
      <c r="C76" s="282"/>
      <c r="D76" s="282"/>
      <c r="E76" s="284"/>
      <c r="F76" s="285"/>
      <c r="G76" s="282"/>
      <c r="H76" s="282"/>
      <c r="I76" s="256"/>
      <c r="J76" s="256"/>
    </row>
    <row r="77" spans="1:10" ht="12.75" outlineLevel="1">
      <c r="A77" s="864" t="s">
        <v>113</v>
      </c>
      <c r="B77" s="864"/>
      <c r="C77" s="864"/>
      <c r="D77" s="864"/>
      <c r="E77" s="864"/>
      <c r="F77" s="864"/>
      <c r="G77" s="864"/>
      <c r="H77" s="864"/>
      <c r="I77" s="256"/>
      <c r="J77" s="256"/>
    </row>
    <row r="78" spans="1:10" ht="12.75" outlineLevel="1">
      <c r="A78" s="271"/>
      <c r="B78" s="272"/>
      <c r="C78" s="272"/>
      <c r="D78" s="272"/>
      <c r="E78" s="273"/>
      <c r="F78" s="274"/>
      <c r="G78" s="272"/>
      <c r="H78" s="275"/>
      <c r="I78" s="256"/>
      <c r="J78" s="256"/>
    </row>
    <row r="79" spans="1:10" ht="22.5" outlineLevel="1">
      <c r="A79" s="276" t="s">
        <v>114</v>
      </c>
      <c r="B79" s="277" t="s">
        <v>115</v>
      </c>
      <c r="C79" s="277" t="s">
        <v>116</v>
      </c>
      <c r="D79" s="277" t="s">
        <v>117</v>
      </c>
      <c r="E79" s="278" t="s">
        <v>118</v>
      </c>
      <c r="F79" s="279" t="s">
        <v>48</v>
      </c>
      <c r="G79" s="277"/>
      <c r="H79" s="280"/>
      <c r="I79" s="256"/>
      <c r="J79" s="256"/>
    </row>
    <row r="80" spans="1:10" ht="12.75" outlineLevel="1">
      <c r="A80" s="281" t="s">
        <v>125</v>
      </c>
      <c r="B80" s="282"/>
      <c r="C80" s="282">
        <f>C75</f>
        <v>3854000</v>
      </c>
      <c r="D80" s="282"/>
      <c r="E80" s="284"/>
      <c r="F80" s="285"/>
      <c r="G80" s="282"/>
      <c r="H80" s="286"/>
      <c r="I80" s="256"/>
      <c r="J80" s="256"/>
    </row>
    <row r="81" spans="1:10" ht="12.75" outlineLevel="1">
      <c r="A81" s="307">
        <v>46112</v>
      </c>
      <c r="B81" s="282">
        <f>A81-A74</f>
        <v>90</v>
      </c>
      <c r="C81" s="282">
        <f>C80-D81</f>
        <v>3854000</v>
      </c>
      <c r="D81" s="282"/>
      <c r="E81" s="308">
        <f>$E$11+$E$12</f>
        <v>0.0753</v>
      </c>
      <c r="F81" s="285">
        <f>B81*C80*E81/I81</f>
        <v>71557.69315068494</v>
      </c>
      <c r="G81" s="282"/>
      <c r="H81" s="286"/>
      <c r="I81" s="256">
        <v>365</v>
      </c>
      <c r="J81" s="256"/>
    </row>
    <row r="82" spans="1:10" ht="12.75" outlineLevel="1">
      <c r="A82" s="307">
        <v>46203</v>
      </c>
      <c r="B82" s="282">
        <f>A82-A81</f>
        <v>91</v>
      </c>
      <c r="C82" s="282">
        <f>C81-D82</f>
        <v>3854000</v>
      </c>
      <c r="D82" s="282"/>
      <c r="E82" s="308">
        <f>$E$11+$E$12</f>
        <v>0.0753</v>
      </c>
      <c r="F82" s="285">
        <f>B82*C81*E82/I82</f>
        <v>72352.77863013699</v>
      </c>
      <c r="G82" s="282"/>
      <c r="H82" s="286"/>
      <c r="I82" s="256">
        <v>365</v>
      </c>
      <c r="J82" s="256"/>
    </row>
    <row r="83" spans="1:10" ht="12.75" outlineLevel="1">
      <c r="A83" s="307">
        <v>46295</v>
      </c>
      <c r="B83" s="282">
        <f>A83-A82</f>
        <v>92</v>
      </c>
      <c r="C83" s="282">
        <f>C82-D83</f>
        <v>3854000</v>
      </c>
      <c r="D83" s="282"/>
      <c r="E83" s="308">
        <f>$E$11+$E$12</f>
        <v>0.0753</v>
      </c>
      <c r="F83" s="285">
        <f>B83*C82*E83/I83</f>
        <v>73147.86410958905</v>
      </c>
      <c r="G83" s="282"/>
      <c r="H83" s="286"/>
      <c r="I83" s="256">
        <v>365</v>
      </c>
      <c r="J83" s="256"/>
    </row>
    <row r="84" spans="1:10" ht="12.75" outlineLevel="1">
      <c r="A84" s="307">
        <v>46387</v>
      </c>
      <c r="B84" s="282">
        <f>A84-A83</f>
        <v>92</v>
      </c>
      <c r="C84" s="282">
        <f>C83-D84</f>
        <v>3854000</v>
      </c>
      <c r="D84" s="282"/>
      <c r="E84" s="308">
        <f>$E$11+$E$12</f>
        <v>0.0753</v>
      </c>
      <c r="F84" s="285">
        <f>B84*C83*E84/I84</f>
        <v>73147.86410958905</v>
      </c>
      <c r="G84" s="282"/>
      <c r="H84" s="286"/>
      <c r="I84" s="256">
        <v>365</v>
      </c>
      <c r="J84" s="256"/>
    </row>
    <row r="85" spans="1:10" ht="12.75" outlineLevel="1">
      <c r="A85" s="309"/>
      <c r="B85" s="288"/>
      <c r="C85" s="288">
        <f>C84</f>
        <v>3854000</v>
      </c>
      <c r="D85" s="288">
        <f>SUM(D81:D84)</f>
        <v>0</v>
      </c>
      <c r="E85" s="289"/>
      <c r="F85" s="274">
        <f>SUM(F81:F84)</f>
        <v>290206.2</v>
      </c>
      <c r="G85" s="288"/>
      <c r="H85" s="290"/>
      <c r="I85" s="256"/>
      <c r="J85" s="256"/>
    </row>
    <row r="86" spans="1:10" ht="12.75" outlineLevel="1">
      <c r="A86" s="291"/>
      <c r="B86" s="282"/>
      <c r="C86" s="282"/>
      <c r="D86" s="282"/>
      <c r="E86" s="284"/>
      <c r="F86" s="285"/>
      <c r="G86" s="282"/>
      <c r="H86" s="282"/>
      <c r="I86" s="256"/>
      <c r="J86" s="256"/>
    </row>
    <row r="87" spans="1:10" ht="12.75" outlineLevel="1">
      <c r="A87" s="864" t="s">
        <v>113</v>
      </c>
      <c r="B87" s="864"/>
      <c r="C87" s="864"/>
      <c r="D87" s="864"/>
      <c r="E87" s="864"/>
      <c r="F87" s="864"/>
      <c r="G87" s="864"/>
      <c r="H87" s="864"/>
      <c r="I87" s="256"/>
      <c r="J87" s="256"/>
    </row>
    <row r="88" spans="1:10" ht="12.75" outlineLevel="1">
      <c r="A88" s="271"/>
      <c r="B88" s="272"/>
      <c r="C88" s="272"/>
      <c r="D88" s="272"/>
      <c r="E88" s="273"/>
      <c r="F88" s="274"/>
      <c r="G88" s="272"/>
      <c r="H88" s="275"/>
      <c r="I88" s="256"/>
      <c r="J88" s="256"/>
    </row>
    <row r="89" spans="1:10" ht="22.5" outlineLevel="1">
      <c r="A89" s="276" t="s">
        <v>114</v>
      </c>
      <c r="B89" s="277" t="s">
        <v>115</v>
      </c>
      <c r="C89" s="277" t="s">
        <v>116</v>
      </c>
      <c r="D89" s="277" t="s">
        <v>117</v>
      </c>
      <c r="E89" s="278" t="s">
        <v>118</v>
      </c>
      <c r="F89" s="279" t="s">
        <v>48</v>
      </c>
      <c r="G89" s="277"/>
      <c r="H89" s="280"/>
      <c r="I89" s="256"/>
      <c r="J89" s="256"/>
    </row>
    <row r="90" spans="1:10" ht="12.75" outlineLevel="1">
      <c r="A90" s="281" t="s">
        <v>126</v>
      </c>
      <c r="B90" s="282"/>
      <c r="C90" s="282">
        <f>C85</f>
        <v>3854000</v>
      </c>
      <c r="D90" s="282"/>
      <c r="E90" s="284"/>
      <c r="F90" s="285"/>
      <c r="G90" s="282"/>
      <c r="H90" s="286"/>
      <c r="I90" s="256"/>
      <c r="J90" s="256"/>
    </row>
    <row r="91" spans="1:10" ht="12.75" outlineLevel="1">
      <c r="A91" s="307">
        <v>46477</v>
      </c>
      <c r="B91" s="282">
        <f>A91-A84</f>
        <v>90</v>
      </c>
      <c r="C91" s="282">
        <f>C90-D91</f>
        <v>3854000</v>
      </c>
      <c r="D91" s="282"/>
      <c r="E91" s="308">
        <f>$E$11+$E$12</f>
        <v>0.0753</v>
      </c>
      <c r="F91" s="285">
        <f>B91*C90*E91/I91</f>
        <v>71557.69315068494</v>
      </c>
      <c r="G91" s="282"/>
      <c r="H91" s="286"/>
      <c r="I91" s="256">
        <v>365</v>
      </c>
      <c r="J91" s="256"/>
    </row>
    <row r="92" spans="1:10" ht="12.75" outlineLevel="1">
      <c r="A92" s="307">
        <v>46568</v>
      </c>
      <c r="B92" s="282">
        <f>A92-A91</f>
        <v>91</v>
      </c>
      <c r="C92" s="282">
        <f>C91-D92</f>
        <v>3854000</v>
      </c>
      <c r="D92" s="282"/>
      <c r="E92" s="308">
        <f>$E$11+$E$12</f>
        <v>0.0753</v>
      </c>
      <c r="F92" s="285">
        <f>B92*C91*E92/I92</f>
        <v>72352.77863013699</v>
      </c>
      <c r="G92" s="282"/>
      <c r="H92" s="286"/>
      <c r="I92" s="256">
        <v>365</v>
      </c>
      <c r="J92" s="256"/>
    </row>
    <row r="93" spans="1:10" ht="12.75" outlineLevel="1">
      <c r="A93" s="307">
        <v>46660</v>
      </c>
      <c r="B93" s="282">
        <f>A93-A92</f>
        <v>92</v>
      </c>
      <c r="C93" s="282">
        <f>C92-D93</f>
        <v>3854000</v>
      </c>
      <c r="D93" s="282"/>
      <c r="E93" s="308">
        <f>$E$11+$E$12</f>
        <v>0.0753</v>
      </c>
      <c r="F93" s="285">
        <f>B93*C92*E93/I93</f>
        <v>73147.86410958905</v>
      </c>
      <c r="G93" s="282"/>
      <c r="H93" s="286"/>
      <c r="I93" s="256">
        <v>365</v>
      </c>
      <c r="J93" s="256"/>
    </row>
    <row r="94" spans="1:10" ht="12.75" outlineLevel="1">
      <c r="A94" s="307">
        <v>46752</v>
      </c>
      <c r="B94" s="282">
        <f>A94-A93</f>
        <v>92</v>
      </c>
      <c r="C94" s="282">
        <f>C93-D94</f>
        <v>3854000</v>
      </c>
      <c r="D94" s="282"/>
      <c r="E94" s="308">
        <f>$E$11+$E$12</f>
        <v>0.0753</v>
      </c>
      <c r="F94" s="285">
        <f>B94*C93*E94/I94</f>
        <v>73147.86410958905</v>
      </c>
      <c r="G94" s="282"/>
      <c r="H94" s="286"/>
      <c r="I94" s="256">
        <v>365</v>
      </c>
      <c r="J94" s="256"/>
    </row>
    <row r="95" spans="1:10" ht="12.75" outlineLevel="1">
      <c r="A95" s="309"/>
      <c r="B95" s="288"/>
      <c r="C95" s="288">
        <f>C94</f>
        <v>3854000</v>
      </c>
      <c r="D95" s="288">
        <f>SUM(D91:D94)</f>
        <v>0</v>
      </c>
      <c r="E95" s="289"/>
      <c r="F95" s="274">
        <f>SUM(F91:F94)</f>
        <v>290206.2</v>
      </c>
      <c r="G95" s="288"/>
      <c r="H95" s="290"/>
      <c r="I95" s="256"/>
      <c r="J95" s="256"/>
    </row>
    <row r="96" spans="1:10" ht="12.75" outlineLevel="1">
      <c r="A96" s="291"/>
      <c r="B96" s="282"/>
      <c r="C96" s="282"/>
      <c r="D96" s="282"/>
      <c r="E96" s="284"/>
      <c r="F96" s="285"/>
      <c r="G96" s="282"/>
      <c r="H96" s="282"/>
      <c r="I96" s="256"/>
      <c r="J96" s="256"/>
    </row>
    <row r="97" spans="1:10" ht="12.75" outlineLevel="1">
      <c r="A97" s="864" t="s">
        <v>113</v>
      </c>
      <c r="B97" s="864"/>
      <c r="C97" s="864"/>
      <c r="D97" s="864"/>
      <c r="E97" s="864"/>
      <c r="F97" s="864"/>
      <c r="G97" s="864"/>
      <c r="H97" s="864"/>
      <c r="I97" s="256"/>
      <c r="J97" s="256"/>
    </row>
    <row r="98" spans="1:10" ht="12.75" outlineLevel="1">
      <c r="A98" s="271"/>
      <c r="B98" s="272"/>
      <c r="C98" s="272"/>
      <c r="D98" s="272"/>
      <c r="E98" s="273"/>
      <c r="F98" s="274"/>
      <c r="G98" s="272"/>
      <c r="H98" s="275"/>
      <c r="I98" s="256"/>
      <c r="J98" s="256"/>
    </row>
    <row r="99" spans="1:10" ht="22.5" outlineLevel="1">
      <c r="A99" s="276" t="s">
        <v>114</v>
      </c>
      <c r="B99" s="277" t="s">
        <v>115</v>
      </c>
      <c r="C99" s="277" t="s">
        <v>116</v>
      </c>
      <c r="D99" s="277" t="s">
        <v>117</v>
      </c>
      <c r="E99" s="278" t="s">
        <v>118</v>
      </c>
      <c r="F99" s="279" t="s">
        <v>48</v>
      </c>
      <c r="G99" s="277"/>
      <c r="H99" s="280"/>
      <c r="I99" s="256"/>
      <c r="J99" s="256"/>
    </row>
    <row r="100" spans="1:10" ht="12.75" outlineLevel="1">
      <c r="A100" s="281" t="s">
        <v>127</v>
      </c>
      <c r="B100" s="282"/>
      <c r="C100" s="282">
        <f>C95</f>
        <v>3854000</v>
      </c>
      <c r="D100" s="282"/>
      <c r="E100" s="284"/>
      <c r="F100" s="285"/>
      <c r="G100" s="282"/>
      <c r="H100" s="286"/>
      <c r="I100" s="256"/>
      <c r="J100" s="256"/>
    </row>
    <row r="101" spans="1:10" ht="12.75" outlineLevel="1">
      <c r="A101" s="307">
        <v>46843</v>
      </c>
      <c r="B101" s="282">
        <f>A101-A94</f>
        <v>91</v>
      </c>
      <c r="C101" s="282">
        <f>C100-D101</f>
        <v>3729000</v>
      </c>
      <c r="D101" s="282">
        <v>125000</v>
      </c>
      <c r="E101" s="308">
        <f>$E$11+$E$12</f>
        <v>0.0753</v>
      </c>
      <c r="F101" s="285">
        <f>B101*C100*E101/I101</f>
        <v>72352.77863013699</v>
      </c>
      <c r="G101" s="282"/>
      <c r="H101" s="286"/>
      <c r="I101" s="256">
        <v>365</v>
      </c>
      <c r="J101" s="256"/>
    </row>
    <row r="102" spans="1:10" ht="12.75" outlineLevel="1">
      <c r="A102" s="307">
        <v>46934</v>
      </c>
      <c r="B102" s="282">
        <f>A102-A101</f>
        <v>91</v>
      </c>
      <c r="C102" s="282">
        <f>C101-D102</f>
        <v>3604000</v>
      </c>
      <c r="D102" s="282">
        <v>125000</v>
      </c>
      <c r="E102" s="308">
        <f>$E$11+$E$12</f>
        <v>0.0753</v>
      </c>
      <c r="F102" s="285">
        <f>B102*C101*E102/I102</f>
        <v>70006.10054794521</v>
      </c>
      <c r="G102" s="282"/>
      <c r="H102" s="286"/>
      <c r="I102" s="256">
        <v>365</v>
      </c>
      <c r="J102" s="256"/>
    </row>
    <row r="103" spans="1:10" ht="12.75" outlineLevel="1">
      <c r="A103" s="307">
        <v>47026</v>
      </c>
      <c r="B103" s="282">
        <f>A103-A102</f>
        <v>92</v>
      </c>
      <c r="C103" s="282">
        <f>C102-D103</f>
        <v>3479000</v>
      </c>
      <c r="D103" s="282">
        <v>125000</v>
      </c>
      <c r="E103" s="308">
        <f>$E$11+$E$12</f>
        <v>0.0753</v>
      </c>
      <c r="F103" s="285">
        <f>B103*C102*E103/I103</f>
        <v>68402.93260273973</v>
      </c>
      <c r="G103" s="282"/>
      <c r="H103" s="286"/>
      <c r="I103" s="256">
        <v>365</v>
      </c>
      <c r="J103" s="256"/>
    </row>
    <row r="104" spans="1:10" ht="12.75" outlineLevel="1">
      <c r="A104" s="307">
        <v>47118</v>
      </c>
      <c r="B104" s="282">
        <f>A104-A103</f>
        <v>92</v>
      </c>
      <c r="C104" s="282">
        <f>C103-D104</f>
        <v>3354000</v>
      </c>
      <c r="D104" s="282">
        <v>125000</v>
      </c>
      <c r="E104" s="308">
        <f>$E$11+$E$12</f>
        <v>0.0753</v>
      </c>
      <c r="F104" s="285">
        <f>B104*C103*E104/I104</f>
        <v>66030.46684931507</v>
      </c>
      <c r="G104" s="282"/>
      <c r="H104" s="286"/>
      <c r="I104" s="256">
        <v>365</v>
      </c>
      <c r="J104" s="256"/>
    </row>
    <row r="105" spans="1:10" ht="12.75" outlineLevel="1">
      <c r="A105" s="309"/>
      <c r="B105" s="288"/>
      <c r="C105" s="288">
        <f>C104</f>
        <v>3354000</v>
      </c>
      <c r="D105" s="288">
        <f>SUM(D101:D104)</f>
        <v>500000</v>
      </c>
      <c r="E105" s="289"/>
      <c r="F105" s="274">
        <f>SUM(F101:F104)</f>
        <v>276792.278630137</v>
      </c>
      <c r="G105" s="288"/>
      <c r="H105" s="290"/>
      <c r="I105" s="256"/>
      <c r="J105" s="256"/>
    </row>
    <row r="106" spans="1:10" ht="12.75" outlineLevel="1">
      <c r="A106" s="291"/>
      <c r="B106" s="282"/>
      <c r="C106" s="282"/>
      <c r="D106" s="282"/>
      <c r="E106" s="284"/>
      <c r="F106" s="285"/>
      <c r="G106" s="282"/>
      <c r="H106" s="282"/>
      <c r="I106" s="256"/>
      <c r="J106" s="256"/>
    </row>
    <row r="107" spans="1:10" ht="12.75" outlineLevel="1">
      <c r="A107" s="864" t="s">
        <v>113</v>
      </c>
      <c r="B107" s="864"/>
      <c r="C107" s="864"/>
      <c r="D107" s="864"/>
      <c r="E107" s="864"/>
      <c r="F107" s="864"/>
      <c r="G107" s="864"/>
      <c r="H107" s="864"/>
      <c r="I107" s="256"/>
      <c r="J107" s="256"/>
    </row>
    <row r="108" spans="1:10" ht="12.75" outlineLevel="1">
      <c r="A108" s="271"/>
      <c r="B108" s="272"/>
      <c r="C108" s="272"/>
      <c r="D108" s="272"/>
      <c r="E108" s="273"/>
      <c r="F108" s="274"/>
      <c r="G108" s="272"/>
      <c r="H108" s="275"/>
      <c r="I108" s="256"/>
      <c r="J108" s="256"/>
    </row>
    <row r="109" spans="1:10" ht="22.5" outlineLevel="1">
      <c r="A109" s="276" t="s">
        <v>114</v>
      </c>
      <c r="B109" s="277" t="s">
        <v>115</v>
      </c>
      <c r="C109" s="277" t="s">
        <v>116</v>
      </c>
      <c r="D109" s="277" t="s">
        <v>117</v>
      </c>
      <c r="E109" s="278" t="s">
        <v>118</v>
      </c>
      <c r="F109" s="279" t="s">
        <v>48</v>
      </c>
      <c r="G109" s="277"/>
      <c r="H109" s="280"/>
      <c r="I109" s="256"/>
      <c r="J109" s="256"/>
    </row>
    <row r="110" spans="1:10" ht="12.75" outlineLevel="1">
      <c r="A110" s="281" t="s">
        <v>128</v>
      </c>
      <c r="B110" s="282"/>
      <c r="C110" s="282">
        <f>C105</f>
        <v>3354000</v>
      </c>
      <c r="D110" s="282"/>
      <c r="E110" s="284"/>
      <c r="F110" s="285"/>
      <c r="G110" s="282"/>
      <c r="H110" s="286"/>
      <c r="I110" s="256"/>
      <c r="J110" s="256"/>
    </row>
    <row r="111" spans="1:10" ht="12.75" outlineLevel="1">
      <c r="A111" s="307">
        <v>47208</v>
      </c>
      <c r="B111" s="282">
        <f>A111-A104</f>
        <v>90</v>
      </c>
      <c r="C111" s="282">
        <f>C110-D111</f>
        <v>3229000</v>
      </c>
      <c r="D111" s="282">
        <v>125000</v>
      </c>
      <c r="E111" s="308">
        <f>$E$11+$E$12</f>
        <v>0.0753</v>
      </c>
      <c r="F111" s="285">
        <f>B111*C110*E111/I111</f>
        <v>62274.13150684931</v>
      </c>
      <c r="G111" s="282"/>
      <c r="H111" s="286"/>
      <c r="I111" s="256">
        <v>365</v>
      </c>
      <c r="J111" s="256"/>
    </row>
    <row r="112" spans="1:10" ht="12.75" outlineLevel="1">
      <c r="A112" s="307">
        <v>47299</v>
      </c>
      <c r="B112" s="282">
        <f>A112-A111</f>
        <v>91</v>
      </c>
      <c r="C112" s="282">
        <f>C111-D112</f>
        <v>3104000</v>
      </c>
      <c r="D112" s="282">
        <v>125000</v>
      </c>
      <c r="E112" s="308">
        <f>$E$11+$E$12</f>
        <v>0.0753</v>
      </c>
      <c r="F112" s="285">
        <f>B112*C111*E112/I112</f>
        <v>60619.38821917809</v>
      </c>
      <c r="G112" s="282"/>
      <c r="H112" s="286"/>
      <c r="I112" s="256">
        <v>365</v>
      </c>
      <c r="J112" s="256"/>
    </row>
    <row r="113" spans="1:10" ht="12.75" outlineLevel="1">
      <c r="A113" s="307">
        <v>47391</v>
      </c>
      <c r="B113" s="282">
        <f>A113-A112</f>
        <v>92</v>
      </c>
      <c r="C113" s="282">
        <f>C112-D113</f>
        <v>2979000</v>
      </c>
      <c r="D113" s="282">
        <v>125000</v>
      </c>
      <c r="E113" s="308">
        <f>$E$11+$E$12</f>
        <v>0.0753</v>
      </c>
      <c r="F113" s="285">
        <f>B113*C112*E113/I113</f>
        <v>58913.0695890411</v>
      </c>
      <c r="G113" s="282"/>
      <c r="H113" s="286"/>
      <c r="I113" s="256">
        <v>365</v>
      </c>
      <c r="J113" s="256"/>
    </row>
    <row r="114" spans="1:10" ht="12.75" outlineLevel="1">
      <c r="A114" s="307">
        <v>47483</v>
      </c>
      <c r="B114" s="282">
        <f>A114-A113</f>
        <v>92</v>
      </c>
      <c r="C114" s="282">
        <f>C113-D114</f>
        <v>2854000</v>
      </c>
      <c r="D114" s="282">
        <v>125000</v>
      </c>
      <c r="E114" s="308">
        <f>$E$11+$E$12</f>
        <v>0.0753</v>
      </c>
      <c r="F114" s="285">
        <f>B114*C113*E114/I114</f>
        <v>56540.60383561644</v>
      </c>
      <c r="G114" s="282"/>
      <c r="H114" s="286"/>
      <c r="I114" s="256">
        <v>365</v>
      </c>
      <c r="J114" s="256"/>
    </row>
    <row r="115" spans="1:10" ht="12.75" outlineLevel="1">
      <c r="A115" s="309"/>
      <c r="B115" s="288"/>
      <c r="C115" s="288">
        <f>C114</f>
        <v>2854000</v>
      </c>
      <c r="D115" s="288">
        <f>SUM(D111:D114)</f>
        <v>500000</v>
      </c>
      <c r="E115" s="289"/>
      <c r="F115" s="274">
        <f>SUM(F111:F114)</f>
        <v>238347.19315068494</v>
      </c>
      <c r="G115" s="288"/>
      <c r="H115" s="290"/>
      <c r="I115" s="256"/>
      <c r="J115" s="256"/>
    </row>
    <row r="116" spans="1:10" ht="12.75" outlineLevel="1">
      <c r="A116" s="291"/>
      <c r="B116" s="282"/>
      <c r="C116" s="282"/>
      <c r="D116" s="282"/>
      <c r="E116" s="284"/>
      <c r="F116" s="285"/>
      <c r="G116" s="282"/>
      <c r="H116" s="282"/>
      <c r="I116" s="256"/>
      <c r="J116" s="256"/>
    </row>
    <row r="117" spans="1:10" ht="12.75" outlineLevel="1">
      <c r="A117" s="864" t="s">
        <v>113</v>
      </c>
      <c r="B117" s="864"/>
      <c r="C117" s="864"/>
      <c r="D117" s="864"/>
      <c r="E117" s="864"/>
      <c r="F117" s="864"/>
      <c r="G117" s="864"/>
      <c r="H117" s="864"/>
      <c r="I117" s="256"/>
      <c r="J117" s="256"/>
    </row>
    <row r="118" spans="1:10" ht="12.75" outlineLevel="1">
      <c r="A118" s="271"/>
      <c r="B118" s="272"/>
      <c r="C118" s="272"/>
      <c r="D118" s="272"/>
      <c r="E118" s="273"/>
      <c r="F118" s="274"/>
      <c r="G118" s="272"/>
      <c r="H118" s="275"/>
      <c r="I118" s="256"/>
      <c r="J118" s="256"/>
    </row>
    <row r="119" spans="1:10" ht="22.5" outlineLevel="1">
      <c r="A119" s="276" t="s">
        <v>114</v>
      </c>
      <c r="B119" s="277" t="s">
        <v>115</v>
      </c>
      <c r="C119" s="277" t="s">
        <v>116</v>
      </c>
      <c r="D119" s="277" t="s">
        <v>117</v>
      </c>
      <c r="E119" s="278" t="s">
        <v>118</v>
      </c>
      <c r="F119" s="279" t="s">
        <v>48</v>
      </c>
      <c r="G119" s="277"/>
      <c r="H119" s="280"/>
      <c r="I119" s="256"/>
      <c r="J119" s="256"/>
    </row>
    <row r="120" spans="1:10" ht="12.75" outlineLevel="1">
      <c r="A120" s="281" t="s">
        <v>129</v>
      </c>
      <c r="B120" s="282"/>
      <c r="C120" s="282">
        <f>C115</f>
        <v>2854000</v>
      </c>
      <c r="D120" s="282"/>
      <c r="E120" s="284"/>
      <c r="F120" s="285"/>
      <c r="G120" s="282"/>
      <c r="H120" s="286"/>
      <c r="I120" s="256"/>
      <c r="J120" s="256"/>
    </row>
    <row r="121" spans="1:10" ht="12.75" outlineLevel="1">
      <c r="A121" s="307">
        <v>47573</v>
      </c>
      <c r="B121" s="282">
        <f>A121-A114</f>
        <v>90</v>
      </c>
      <c r="C121" s="282">
        <f>C120-D121</f>
        <v>2729000</v>
      </c>
      <c r="D121" s="282">
        <v>125000</v>
      </c>
      <c r="E121" s="308">
        <f>$E$11+$E$12</f>
        <v>0.0753</v>
      </c>
      <c r="F121" s="285">
        <f>B121*C120*E121/I121</f>
        <v>52990.5698630137</v>
      </c>
      <c r="G121" s="282"/>
      <c r="H121" s="286"/>
      <c r="I121" s="256">
        <v>365</v>
      </c>
      <c r="J121" s="256"/>
    </row>
    <row r="122" spans="1:10" ht="12.75" outlineLevel="1">
      <c r="A122" s="307">
        <v>47664</v>
      </c>
      <c r="B122" s="282">
        <f>A122-A121</f>
        <v>91</v>
      </c>
      <c r="C122" s="282">
        <f>C121-D122</f>
        <v>2604000</v>
      </c>
      <c r="D122" s="282">
        <v>125000</v>
      </c>
      <c r="E122" s="308">
        <f>$E$11+$E$12</f>
        <v>0.0753</v>
      </c>
      <c r="F122" s="285">
        <f>B122*C121*E122/I122</f>
        <v>51232.67589041097</v>
      </c>
      <c r="G122" s="282"/>
      <c r="H122" s="286"/>
      <c r="I122" s="256">
        <v>365</v>
      </c>
      <c r="J122" s="256"/>
    </row>
    <row r="123" spans="1:10" ht="12.75" outlineLevel="1">
      <c r="A123" s="307">
        <v>47756</v>
      </c>
      <c r="B123" s="282">
        <f>A123-A122</f>
        <v>92</v>
      </c>
      <c r="C123" s="282">
        <f>C122-D123</f>
        <v>2479000</v>
      </c>
      <c r="D123" s="282">
        <v>125000</v>
      </c>
      <c r="E123" s="308">
        <f>$E$11+$E$12</f>
        <v>0.0753</v>
      </c>
      <c r="F123" s="285">
        <f>B123*C122*E123/I123</f>
        <v>49423.20657534247</v>
      </c>
      <c r="G123" s="282"/>
      <c r="H123" s="286"/>
      <c r="I123" s="256">
        <v>365</v>
      </c>
      <c r="J123" s="256"/>
    </row>
    <row r="124" spans="1:10" ht="12.75" outlineLevel="1">
      <c r="A124" s="307">
        <v>47848</v>
      </c>
      <c r="B124" s="282">
        <f>A124-A123</f>
        <v>92</v>
      </c>
      <c r="C124" s="282">
        <f>C123-D124</f>
        <v>2354000</v>
      </c>
      <c r="D124" s="282">
        <v>125000</v>
      </c>
      <c r="E124" s="308">
        <f>$E$11+$E$12</f>
        <v>0.0753</v>
      </c>
      <c r="F124" s="285">
        <f>B124*C123*E124/I124</f>
        <v>47050.74082191782</v>
      </c>
      <c r="G124" s="282"/>
      <c r="H124" s="286"/>
      <c r="I124" s="256">
        <v>365</v>
      </c>
      <c r="J124" s="256"/>
    </row>
    <row r="125" spans="1:10" ht="12.75" outlineLevel="1">
      <c r="A125" s="309"/>
      <c r="B125" s="288"/>
      <c r="C125" s="288">
        <f>C124</f>
        <v>2354000</v>
      </c>
      <c r="D125" s="288">
        <f>SUM(D121:D124)</f>
        <v>500000</v>
      </c>
      <c r="E125" s="289"/>
      <c r="F125" s="274">
        <f>SUM(F121:F124)</f>
        <v>200697.19315068494</v>
      </c>
      <c r="G125" s="288"/>
      <c r="H125" s="290"/>
      <c r="I125" s="256"/>
      <c r="J125" s="256"/>
    </row>
    <row r="126" spans="1:10" ht="12.75" outlineLevel="1">
      <c r="A126" s="256"/>
      <c r="B126" s="255"/>
      <c r="C126" s="255"/>
      <c r="D126" s="255"/>
      <c r="E126" s="257"/>
      <c r="F126" s="258"/>
      <c r="G126" s="255"/>
      <c r="H126" s="255"/>
      <c r="I126" s="256"/>
      <c r="J126" s="256"/>
    </row>
    <row r="127" spans="1:10" ht="12.75" outlineLevel="1">
      <c r="A127" s="864" t="s">
        <v>113</v>
      </c>
      <c r="B127" s="864"/>
      <c r="C127" s="864"/>
      <c r="D127" s="864"/>
      <c r="E127" s="864"/>
      <c r="F127" s="864"/>
      <c r="G127" s="864"/>
      <c r="H127" s="864"/>
      <c r="I127" s="256"/>
      <c r="J127" s="256"/>
    </row>
    <row r="128" spans="1:10" ht="12.75" outlineLevel="1">
      <c r="A128" s="271"/>
      <c r="B128" s="272"/>
      <c r="C128" s="272"/>
      <c r="D128" s="272"/>
      <c r="E128" s="273"/>
      <c r="F128" s="274"/>
      <c r="G128" s="272"/>
      <c r="H128" s="275"/>
      <c r="I128" s="256"/>
      <c r="J128" s="256"/>
    </row>
    <row r="129" spans="1:10" ht="22.5" outlineLevel="1">
      <c r="A129" s="276" t="s">
        <v>114</v>
      </c>
      <c r="B129" s="277" t="s">
        <v>115</v>
      </c>
      <c r="C129" s="277" t="s">
        <v>116</v>
      </c>
      <c r="D129" s="277" t="s">
        <v>117</v>
      </c>
      <c r="E129" s="278" t="s">
        <v>118</v>
      </c>
      <c r="F129" s="279" t="s">
        <v>48</v>
      </c>
      <c r="G129" s="277"/>
      <c r="H129" s="280"/>
      <c r="I129" s="256"/>
      <c r="J129" s="256"/>
    </row>
    <row r="130" spans="1:10" ht="12.75" outlineLevel="1">
      <c r="A130" s="281" t="s">
        <v>130</v>
      </c>
      <c r="B130" s="282"/>
      <c r="C130" s="282">
        <f>C125</f>
        <v>2354000</v>
      </c>
      <c r="D130" s="282"/>
      <c r="E130" s="284"/>
      <c r="F130" s="285"/>
      <c r="G130" s="282"/>
      <c r="H130" s="286"/>
      <c r="I130" s="256"/>
      <c r="J130" s="256"/>
    </row>
    <row r="131" spans="1:10" ht="12.75" outlineLevel="1">
      <c r="A131" s="307">
        <v>47938</v>
      </c>
      <c r="B131" s="282">
        <f>A131-A124</f>
        <v>90</v>
      </c>
      <c r="C131" s="282">
        <f>C130-D131</f>
        <v>2191000</v>
      </c>
      <c r="D131" s="282">
        <v>163000</v>
      </c>
      <c r="E131" s="308">
        <f>$E$11+$E$12</f>
        <v>0.0753</v>
      </c>
      <c r="F131" s="285">
        <f>B131*C130*E131/I131</f>
        <v>43707.00821917809</v>
      </c>
      <c r="G131" s="282"/>
      <c r="H131" s="286"/>
      <c r="I131" s="256">
        <v>365</v>
      </c>
      <c r="J131" s="256"/>
    </row>
    <row r="132" spans="1:10" ht="12.75" outlineLevel="1">
      <c r="A132" s="307">
        <v>48029</v>
      </c>
      <c r="B132" s="282">
        <f>A132-A131</f>
        <v>91</v>
      </c>
      <c r="C132" s="282">
        <f>C131-D132</f>
        <v>2028000</v>
      </c>
      <c r="D132" s="282">
        <v>163000</v>
      </c>
      <c r="E132" s="308">
        <f>$E$11+$E$12</f>
        <v>0.0753</v>
      </c>
      <c r="F132" s="285">
        <f>B132*C131*E132/I132</f>
        <v>41132.57342465754</v>
      </c>
      <c r="G132" s="282"/>
      <c r="H132" s="286"/>
      <c r="I132" s="256">
        <v>365</v>
      </c>
      <c r="J132" s="256"/>
    </row>
    <row r="133" spans="1:10" ht="12.75" outlineLevel="1">
      <c r="A133" s="307">
        <v>48121</v>
      </c>
      <c r="B133" s="282">
        <f>A133-A132</f>
        <v>92</v>
      </c>
      <c r="C133" s="282">
        <f>C132-D133</f>
        <v>1865000</v>
      </c>
      <c r="D133" s="282">
        <v>163000</v>
      </c>
      <c r="E133" s="308">
        <f>$E$11+$E$12</f>
        <v>0.0753</v>
      </c>
      <c r="F133" s="285">
        <f>B133*C132*E133/I133</f>
        <v>38490.88438356164</v>
      </c>
      <c r="G133" s="282"/>
      <c r="H133" s="286"/>
      <c r="I133" s="256">
        <v>365</v>
      </c>
      <c r="J133" s="256"/>
    </row>
    <row r="134" spans="1:10" ht="12.75" outlineLevel="1">
      <c r="A134" s="307">
        <v>48213</v>
      </c>
      <c r="B134" s="282">
        <f>A134-A133</f>
        <v>92</v>
      </c>
      <c r="C134" s="282">
        <f>C133-D134</f>
        <v>1702000</v>
      </c>
      <c r="D134" s="282">
        <v>163000</v>
      </c>
      <c r="E134" s="308">
        <f>$E$11+$E$12</f>
        <v>0.0753</v>
      </c>
      <c r="F134" s="285">
        <f>B134*C133*E134/I134</f>
        <v>35397.189041095895</v>
      </c>
      <c r="G134" s="282"/>
      <c r="H134" s="286"/>
      <c r="I134" s="256">
        <v>365</v>
      </c>
      <c r="J134" s="256"/>
    </row>
    <row r="135" spans="1:10" ht="12.75" outlineLevel="1">
      <c r="A135" s="309"/>
      <c r="B135" s="288"/>
      <c r="C135" s="288">
        <f>C134</f>
        <v>1702000</v>
      </c>
      <c r="D135" s="288">
        <f>SUM(D131:D134)</f>
        <v>652000</v>
      </c>
      <c r="E135" s="289"/>
      <c r="F135" s="274">
        <f>SUM(F131:F134)</f>
        <v>158727.65506849316</v>
      </c>
      <c r="G135" s="288"/>
      <c r="H135" s="290"/>
      <c r="I135" s="256"/>
      <c r="J135" s="256"/>
    </row>
    <row r="136" spans="1:10" ht="12.75" outlineLevel="1">
      <c r="A136" s="310"/>
      <c r="B136" s="311"/>
      <c r="C136" s="311"/>
      <c r="D136" s="312"/>
      <c r="E136" s="312"/>
      <c r="F136" s="312"/>
      <c r="G136" s="311"/>
      <c r="H136" s="313"/>
      <c r="I136" s="256"/>
      <c r="J136" s="256"/>
    </row>
    <row r="137" spans="1:10" ht="12.75" outlineLevel="1">
      <c r="A137" s="864" t="s">
        <v>113</v>
      </c>
      <c r="B137" s="864"/>
      <c r="C137" s="864"/>
      <c r="D137" s="864"/>
      <c r="E137" s="864"/>
      <c r="F137" s="864"/>
      <c r="G137" s="864"/>
      <c r="H137" s="864"/>
      <c r="I137" s="256"/>
      <c r="J137" s="256"/>
    </row>
    <row r="138" spans="1:10" ht="12.75" outlineLevel="1">
      <c r="A138" s="271"/>
      <c r="B138" s="272"/>
      <c r="C138" s="272"/>
      <c r="D138" s="272"/>
      <c r="E138" s="273"/>
      <c r="F138" s="274"/>
      <c r="G138" s="272"/>
      <c r="H138" s="275"/>
      <c r="I138" s="256"/>
      <c r="J138" s="256"/>
    </row>
    <row r="139" spans="1:10" ht="22.5" outlineLevel="1">
      <c r="A139" s="276" t="s">
        <v>114</v>
      </c>
      <c r="B139" s="277" t="s">
        <v>115</v>
      </c>
      <c r="C139" s="277" t="s">
        <v>116</v>
      </c>
      <c r="D139" s="277" t="s">
        <v>117</v>
      </c>
      <c r="E139" s="278" t="s">
        <v>118</v>
      </c>
      <c r="F139" s="279" t="s">
        <v>48</v>
      </c>
      <c r="G139" s="277"/>
      <c r="H139" s="280"/>
      <c r="I139" s="256"/>
      <c r="J139" s="256"/>
    </row>
    <row r="140" spans="1:10" ht="12.75" outlineLevel="1">
      <c r="A140" s="281" t="s">
        <v>131</v>
      </c>
      <c r="B140" s="282"/>
      <c r="C140" s="282">
        <f>C135</f>
        <v>1702000</v>
      </c>
      <c r="D140" s="282"/>
      <c r="E140" s="284"/>
      <c r="F140" s="285"/>
      <c r="G140" s="282"/>
      <c r="H140" s="286"/>
      <c r="I140" s="256"/>
      <c r="J140" s="256"/>
    </row>
    <row r="141" spans="1:10" ht="12.75" outlineLevel="1">
      <c r="A141" s="307">
        <v>48304</v>
      </c>
      <c r="B141" s="282">
        <f>A141-A134</f>
        <v>91</v>
      </c>
      <c r="C141" s="282">
        <f>C140-D141</f>
        <v>1507000</v>
      </c>
      <c r="D141" s="282">
        <v>195000</v>
      </c>
      <c r="E141" s="308">
        <f>$E$11+$E$12</f>
        <v>0.0753</v>
      </c>
      <c r="F141" s="285">
        <f>B141*C140*E141/I141</f>
        <v>31952.36876712329</v>
      </c>
      <c r="G141" s="282"/>
      <c r="H141" s="286"/>
      <c r="I141" s="256">
        <v>365</v>
      </c>
      <c r="J141" s="256"/>
    </row>
    <row r="142" spans="1:10" ht="12.75" outlineLevel="1">
      <c r="A142" s="307">
        <v>48395</v>
      </c>
      <c r="B142" s="282">
        <f>A142-A141</f>
        <v>91</v>
      </c>
      <c r="C142" s="282">
        <f>C141-D142</f>
        <v>1507000</v>
      </c>
      <c r="D142" s="282"/>
      <c r="E142" s="308">
        <f>$E$11+$E$12</f>
        <v>0.0753</v>
      </c>
      <c r="F142" s="285">
        <f>B142*C141*E142/I142</f>
        <v>28291.550958904114</v>
      </c>
      <c r="G142" s="282"/>
      <c r="H142" s="286"/>
      <c r="I142" s="256">
        <v>365</v>
      </c>
      <c r="J142" s="256"/>
    </row>
    <row r="143" spans="1:10" ht="12.75" outlineLevel="1">
      <c r="A143" s="307">
        <v>48487</v>
      </c>
      <c r="B143" s="282">
        <f>A143-A142</f>
        <v>92</v>
      </c>
      <c r="C143" s="282">
        <f>C142-D143</f>
        <v>1507000</v>
      </c>
      <c r="D143" s="282"/>
      <c r="E143" s="308">
        <f>$E$11+$E$12</f>
        <v>0.0753</v>
      </c>
      <c r="F143" s="285">
        <f>B143*C142*E143/I143</f>
        <v>28602.447123287675</v>
      </c>
      <c r="G143" s="282"/>
      <c r="H143" s="286"/>
      <c r="I143" s="256">
        <v>365</v>
      </c>
      <c r="J143" s="256"/>
    </row>
    <row r="144" spans="1:10" ht="12.75" outlineLevel="1">
      <c r="A144" s="307">
        <v>48579</v>
      </c>
      <c r="B144" s="282">
        <f>A144-A143</f>
        <v>92</v>
      </c>
      <c r="C144" s="282">
        <f>C143-D144</f>
        <v>1507000</v>
      </c>
      <c r="D144" s="282"/>
      <c r="E144" s="308">
        <f>$E$11+$E$12</f>
        <v>0.0753</v>
      </c>
      <c r="F144" s="285">
        <f>B144*C143*E144/I144</f>
        <v>28602.447123287675</v>
      </c>
      <c r="G144" s="282"/>
      <c r="H144" s="286"/>
      <c r="I144" s="256">
        <v>365</v>
      </c>
      <c r="J144" s="256"/>
    </row>
    <row r="145" spans="1:10" ht="12.75" outlineLevel="1">
      <c r="A145" s="309"/>
      <c r="B145" s="288"/>
      <c r="C145" s="288">
        <f>C144</f>
        <v>1507000</v>
      </c>
      <c r="D145" s="288">
        <f>SUM(D141:D144)</f>
        <v>195000</v>
      </c>
      <c r="E145" s="289"/>
      <c r="F145" s="274">
        <f>SUM(F141:F144)</f>
        <v>117448.81397260277</v>
      </c>
      <c r="G145" s="288"/>
      <c r="H145" s="290"/>
      <c r="I145" s="256"/>
      <c r="J145" s="256"/>
    </row>
    <row r="146" spans="1:10" ht="12.75" outlineLevel="1">
      <c r="A146" s="310"/>
      <c r="B146" s="311"/>
      <c r="C146" s="311"/>
      <c r="D146" s="311"/>
      <c r="E146" s="314"/>
      <c r="F146" s="315"/>
      <c r="G146" s="311"/>
      <c r="H146" s="313"/>
      <c r="I146" s="256"/>
      <c r="J146" s="256"/>
    </row>
    <row r="147" spans="1:10" ht="12.75" outlineLevel="1">
      <c r="A147" s="864" t="s">
        <v>113</v>
      </c>
      <c r="B147" s="864"/>
      <c r="C147" s="864"/>
      <c r="D147" s="864"/>
      <c r="E147" s="864"/>
      <c r="F147" s="864"/>
      <c r="G147" s="864"/>
      <c r="H147" s="864"/>
      <c r="I147" s="256"/>
      <c r="J147" s="256"/>
    </row>
    <row r="148" spans="1:10" ht="12.75" outlineLevel="1">
      <c r="A148" s="271"/>
      <c r="B148" s="272"/>
      <c r="C148" s="272"/>
      <c r="D148" s="272"/>
      <c r="E148" s="273"/>
      <c r="F148" s="274"/>
      <c r="G148" s="272"/>
      <c r="H148" s="275"/>
      <c r="I148" s="256"/>
      <c r="J148" s="256"/>
    </row>
    <row r="149" spans="1:10" ht="22.5" outlineLevel="1">
      <c r="A149" s="276" t="s">
        <v>114</v>
      </c>
      <c r="B149" s="277" t="s">
        <v>115</v>
      </c>
      <c r="C149" s="277" t="s">
        <v>116</v>
      </c>
      <c r="D149" s="277" t="s">
        <v>117</v>
      </c>
      <c r="E149" s="278" t="s">
        <v>118</v>
      </c>
      <c r="F149" s="279" t="s">
        <v>48</v>
      </c>
      <c r="G149" s="277"/>
      <c r="H149" s="280"/>
      <c r="I149" s="256"/>
      <c r="J149" s="256"/>
    </row>
    <row r="150" spans="1:10" ht="12.75" outlineLevel="1">
      <c r="A150" s="281" t="s">
        <v>132</v>
      </c>
      <c r="B150" s="282"/>
      <c r="C150" s="282">
        <f>C145</f>
        <v>1507000</v>
      </c>
      <c r="D150" s="282"/>
      <c r="E150" s="284"/>
      <c r="F150" s="285"/>
      <c r="G150" s="282"/>
      <c r="H150" s="286"/>
      <c r="I150" s="256"/>
      <c r="J150" s="256"/>
    </row>
    <row r="151" spans="1:10" ht="12.75" outlineLevel="1">
      <c r="A151" s="307">
        <v>48669</v>
      </c>
      <c r="B151" s="282">
        <f>A151-A144</f>
        <v>90</v>
      </c>
      <c r="C151" s="282">
        <f>C150-D151</f>
        <v>1312000</v>
      </c>
      <c r="D151" s="282">
        <v>195000</v>
      </c>
      <c r="E151" s="308">
        <f>$E$11+$E$12</f>
        <v>0.0753</v>
      </c>
      <c r="F151" s="285">
        <f>B151*C150*E151/I151</f>
        <v>27980.65479452055</v>
      </c>
      <c r="G151" s="282"/>
      <c r="H151" s="286"/>
      <c r="I151" s="256">
        <v>365</v>
      </c>
      <c r="J151" s="256"/>
    </row>
    <row r="152" spans="1:10" ht="12.75" outlineLevel="1">
      <c r="A152" s="307">
        <v>48760</v>
      </c>
      <c r="B152" s="282">
        <f>A152-A151</f>
        <v>91</v>
      </c>
      <c r="C152" s="282">
        <f>C151-D152</f>
        <v>1312000</v>
      </c>
      <c r="D152" s="282"/>
      <c r="E152" s="308">
        <f>$E$11+$E$12</f>
        <v>0.0753</v>
      </c>
      <c r="F152" s="285">
        <f>B152*C151*E152/I152</f>
        <v>24630.733150684937</v>
      </c>
      <c r="G152" s="282"/>
      <c r="H152" s="286"/>
      <c r="I152" s="256">
        <v>365</v>
      </c>
      <c r="J152" s="256"/>
    </row>
    <row r="153" spans="1:10" ht="12.75" outlineLevel="1">
      <c r="A153" s="307">
        <v>48852</v>
      </c>
      <c r="B153" s="282">
        <f>A153-A152</f>
        <v>92</v>
      </c>
      <c r="C153" s="282">
        <f>C152-D153</f>
        <v>1312000</v>
      </c>
      <c r="D153" s="282"/>
      <c r="E153" s="308">
        <f>$E$11+$E$12</f>
        <v>0.0753</v>
      </c>
      <c r="F153" s="285">
        <f>B153*C152*E153/I153</f>
        <v>24901.40054794521</v>
      </c>
      <c r="G153" s="282"/>
      <c r="H153" s="286"/>
      <c r="I153" s="256">
        <v>365</v>
      </c>
      <c r="J153" s="256"/>
    </row>
    <row r="154" spans="1:10" ht="12.75" outlineLevel="1">
      <c r="A154" s="307">
        <v>48944</v>
      </c>
      <c r="B154" s="282">
        <f>A154-A153</f>
        <v>92</v>
      </c>
      <c r="C154" s="282">
        <f>C153-D154</f>
        <v>1312000</v>
      </c>
      <c r="D154" s="282"/>
      <c r="E154" s="308">
        <f>$E$11+$E$12</f>
        <v>0.0753</v>
      </c>
      <c r="F154" s="285">
        <f>B154*C153*E154/I154</f>
        <v>24901.40054794521</v>
      </c>
      <c r="G154" s="282"/>
      <c r="H154" s="286"/>
      <c r="I154" s="256">
        <v>365</v>
      </c>
      <c r="J154" s="256"/>
    </row>
    <row r="155" spans="1:10" ht="12.75" outlineLevel="1">
      <c r="A155" s="309"/>
      <c r="B155" s="288"/>
      <c r="C155" s="288">
        <f>C154</f>
        <v>1312000</v>
      </c>
      <c r="D155" s="288">
        <f>SUM(D151:D154)</f>
        <v>195000</v>
      </c>
      <c r="E155" s="289"/>
      <c r="F155" s="274">
        <f>SUM(F151:F154)</f>
        <v>102414.1890410959</v>
      </c>
      <c r="G155" s="288"/>
      <c r="H155" s="290"/>
      <c r="I155" s="256"/>
      <c r="J155" s="256"/>
    </row>
    <row r="156" spans="1:10" ht="12.75" outlineLevel="1">
      <c r="A156" s="310"/>
      <c r="B156" s="311"/>
      <c r="C156" s="311"/>
      <c r="D156" s="311"/>
      <c r="E156" s="314"/>
      <c r="F156" s="315"/>
      <c r="G156" s="311"/>
      <c r="H156" s="313"/>
      <c r="I156" s="256"/>
      <c r="J156" s="256"/>
    </row>
    <row r="157" spans="1:10" ht="12.75" outlineLevel="1">
      <c r="A157" s="864" t="s">
        <v>113</v>
      </c>
      <c r="B157" s="864"/>
      <c r="C157" s="864"/>
      <c r="D157" s="864"/>
      <c r="E157" s="864"/>
      <c r="F157" s="864"/>
      <c r="G157" s="864"/>
      <c r="H157" s="864"/>
      <c r="I157" s="256"/>
      <c r="J157" s="256"/>
    </row>
    <row r="158" spans="1:10" ht="12.75" outlineLevel="1">
      <c r="A158" s="271"/>
      <c r="B158" s="272"/>
      <c r="C158" s="272"/>
      <c r="D158" s="272"/>
      <c r="E158" s="273"/>
      <c r="F158" s="274"/>
      <c r="G158" s="272"/>
      <c r="H158" s="275"/>
      <c r="I158" s="256"/>
      <c r="J158" s="256"/>
    </row>
    <row r="159" spans="1:10" ht="22.5" outlineLevel="1">
      <c r="A159" s="276" t="s">
        <v>114</v>
      </c>
      <c r="B159" s="277" t="s">
        <v>115</v>
      </c>
      <c r="C159" s="277" t="s">
        <v>116</v>
      </c>
      <c r="D159" s="277" t="s">
        <v>117</v>
      </c>
      <c r="E159" s="278" t="s">
        <v>118</v>
      </c>
      <c r="F159" s="279" t="s">
        <v>48</v>
      </c>
      <c r="G159" s="277"/>
      <c r="H159" s="280"/>
      <c r="I159" s="256"/>
      <c r="J159" s="256"/>
    </row>
    <row r="160" spans="1:10" ht="12.75" outlineLevel="1">
      <c r="A160" s="281" t="s">
        <v>133</v>
      </c>
      <c r="B160" s="282"/>
      <c r="C160" s="282">
        <f>C155</f>
        <v>1312000</v>
      </c>
      <c r="D160" s="282"/>
      <c r="E160" s="284"/>
      <c r="F160" s="285"/>
      <c r="G160" s="282"/>
      <c r="H160" s="286"/>
      <c r="I160" s="256"/>
      <c r="J160" s="256"/>
    </row>
    <row r="161" spans="1:10" ht="12.75" outlineLevel="1">
      <c r="A161" s="307">
        <v>49034</v>
      </c>
      <c r="B161" s="282">
        <f>A161-A154</f>
        <v>90</v>
      </c>
      <c r="C161" s="282">
        <f>C160-D161</f>
        <v>1117000</v>
      </c>
      <c r="D161" s="282">
        <v>195000</v>
      </c>
      <c r="E161" s="308">
        <f>$E$11+$E$12</f>
        <v>0.0753</v>
      </c>
      <c r="F161" s="285">
        <f>B161*C160*E161/I161</f>
        <v>24360.065753424657</v>
      </c>
      <c r="G161" s="282"/>
      <c r="H161" s="286"/>
      <c r="I161" s="256">
        <v>365</v>
      </c>
      <c r="J161" s="256"/>
    </row>
    <row r="162" spans="1:10" ht="12.75" outlineLevel="1">
      <c r="A162" s="307">
        <v>49125</v>
      </c>
      <c r="B162" s="282">
        <f>A162-A161</f>
        <v>91</v>
      </c>
      <c r="C162" s="282">
        <f>C161-D162</f>
        <v>1117000</v>
      </c>
      <c r="D162" s="282"/>
      <c r="E162" s="308">
        <f>$E$11+$E$12</f>
        <v>0.0753</v>
      </c>
      <c r="F162" s="285">
        <f>B162*C161*E162/I162</f>
        <v>20969.915342465756</v>
      </c>
      <c r="G162" s="282"/>
      <c r="H162" s="286"/>
      <c r="I162" s="256">
        <v>365</v>
      </c>
      <c r="J162" s="256"/>
    </row>
    <row r="163" spans="1:10" ht="12.75" outlineLevel="1">
      <c r="A163" s="307">
        <v>49217</v>
      </c>
      <c r="B163" s="282">
        <f>A163-A162</f>
        <v>92</v>
      </c>
      <c r="C163" s="282">
        <f>C162-D163</f>
        <v>1117000</v>
      </c>
      <c r="D163" s="282"/>
      <c r="E163" s="308">
        <f>$E$11+$E$12</f>
        <v>0.0753</v>
      </c>
      <c r="F163" s="285">
        <f>B163*C162*E163/I163</f>
        <v>21200.35397260274</v>
      </c>
      <c r="G163" s="282"/>
      <c r="H163" s="286"/>
      <c r="I163" s="256">
        <v>365</v>
      </c>
      <c r="J163" s="256"/>
    </row>
    <row r="164" spans="1:10" ht="12.75" outlineLevel="1">
      <c r="A164" s="307">
        <v>49309</v>
      </c>
      <c r="B164" s="282">
        <f>A164-A163</f>
        <v>92</v>
      </c>
      <c r="C164" s="282">
        <f>C163-D164</f>
        <v>1117000</v>
      </c>
      <c r="D164" s="282"/>
      <c r="E164" s="308">
        <f>$E$11+$E$12</f>
        <v>0.0753</v>
      </c>
      <c r="F164" s="285">
        <f>B164*C163*E164/I164</f>
        <v>21200.35397260274</v>
      </c>
      <c r="G164" s="282"/>
      <c r="H164" s="286"/>
      <c r="I164" s="256">
        <v>365</v>
      </c>
      <c r="J164" s="256"/>
    </row>
    <row r="165" spans="1:10" ht="12.75" outlineLevel="1">
      <c r="A165" s="309"/>
      <c r="B165" s="288"/>
      <c r="C165" s="288">
        <f>C164</f>
        <v>1117000</v>
      </c>
      <c r="D165" s="288">
        <f>SUM(D161:D164)</f>
        <v>195000</v>
      </c>
      <c r="E165" s="289"/>
      <c r="F165" s="274">
        <f>SUM(F161:F164)</f>
        <v>87730.68904109589</v>
      </c>
      <c r="G165" s="288"/>
      <c r="H165" s="290"/>
      <c r="I165" s="256"/>
      <c r="J165" s="256"/>
    </row>
    <row r="166" spans="1:10" ht="12.75" outlineLevel="1">
      <c r="A166" s="310"/>
      <c r="B166" s="311"/>
      <c r="C166" s="311"/>
      <c r="D166" s="311"/>
      <c r="E166" s="314"/>
      <c r="F166" s="315"/>
      <c r="G166" s="311"/>
      <c r="H166" s="313"/>
      <c r="I166" s="256"/>
      <c r="J166" s="256"/>
    </row>
    <row r="167" spans="1:10" ht="12.75" outlineLevel="1">
      <c r="A167" s="864" t="s">
        <v>113</v>
      </c>
      <c r="B167" s="864"/>
      <c r="C167" s="864"/>
      <c r="D167" s="864"/>
      <c r="E167" s="864"/>
      <c r="F167" s="864"/>
      <c r="G167" s="864"/>
      <c r="H167" s="864"/>
      <c r="I167" s="256"/>
      <c r="J167" s="256"/>
    </row>
    <row r="168" spans="1:10" ht="12.75" outlineLevel="1">
      <c r="A168" s="271"/>
      <c r="B168" s="272"/>
      <c r="C168" s="272"/>
      <c r="D168" s="272"/>
      <c r="E168" s="273"/>
      <c r="F168" s="274"/>
      <c r="G168" s="272"/>
      <c r="H168" s="275"/>
      <c r="I168" s="256"/>
      <c r="J168" s="256"/>
    </row>
    <row r="169" spans="1:10" ht="22.5" outlineLevel="1">
      <c r="A169" s="276" t="s">
        <v>114</v>
      </c>
      <c r="B169" s="277" t="s">
        <v>115</v>
      </c>
      <c r="C169" s="277" t="s">
        <v>116</v>
      </c>
      <c r="D169" s="277" t="s">
        <v>117</v>
      </c>
      <c r="E169" s="278" t="s">
        <v>118</v>
      </c>
      <c r="F169" s="279" t="s">
        <v>48</v>
      </c>
      <c r="G169" s="277"/>
      <c r="H169" s="280"/>
      <c r="I169" s="256"/>
      <c r="J169" s="256"/>
    </row>
    <row r="170" spans="1:10" ht="12.75" outlineLevel="1">
      <c r="A170" s="281">
        <v>2035</v>
      </c>
      <c r="B170" s="282"/>
      <c r="C170" s="282">
        <f>C165</f>
        <v>1117000</v>
      </c>
      <c r="D170" s="282"/>
      <c r="E170" s="284"/>
      <c r="F170" s="285"/>
      <c r="G170" s="282"/>
      <c r="H170" s="286"/>
      <c r="I170" s="256"/>
      <c r="J170" s="256"/>
    </row>
    <row r="171" spans="1:10" ht="12.75" outlineLevel="1">
      <c r="A171" s="307">
        <v>49399</v>
      </c>
      <c r="B171" s="282">
        <f>A171-A164</f>
        <v>90</v>
      </c>
      <c r="C171" s="282">
        <f>C170-D171</f>
        <v>922000</v>
      </c>
      <c r="D171" s="282">
        <v>195000</v>
      </c>
      <c r="E171" s="308">
        <f>$E$11+$E$12</f>
        <v>0.0753</v>
      </c>
      <c r="F171" s="285">
        <f>B171*C170*E171/I171</f>
        <v>20739.47671232877</v>
      </c>
      <c r="G171" s="282"/>
      <c r="H171" s="286"/>
      <c r="I171" s="256">
        <v>365</v>
      </c>
      <c r="J171" s="256"/>
    </row>
    <row r="172" spans="1:10" ht="12.75" outlineLevel="1">
      <c r="A172" s="307">
        <v>49490</v>
      </c>
      <c r="B172" s="282">
        <f>A172-A171</f>
        <v>91</v>
      </c>
      <c r="C172" s="282">
        <f>C171-D172</f>
        <v>922000</v>
      </c>
      <c r="D172" s="282"/>
      <c r="E172" s="308">
        <f>$E$11+$E$12</f>
        <v>0.0753</v>
      </c>
      <c r="F172" s="285">
        <f>B172*C171*E172/I172</f>
        <v>17309.097534246575</v>
      </c>
      <c r="G172" s="282"/>
      <c r="H172" s="286"/>
      <c r="I172" s="256">
        <v>365</v>
      </c>
      <c r="J172" s="256"/>
    </row>
    <row r="173" spans="1:10" ht="12.75" outlineLevel="1">
      <c r="A173" s="307">
        <v>49582</v>
      </c>
      <c r="B173" s="282">
        <f>A173-A172</f>
        <v>92</v>
      </c>
      <c r="C173" s="282">
        <f>C172-D173</f>
        <v>922000</v>
      </c>
      <c r="D173" s="282"/>
      <c r="E173" s="308">
        <f>$E$11+$E$12</f>
        <v>0.0753</v>
      </c>
      <c r="F173" s="285">
        <f>B173*C172*E173/I173</f>
        <v>17499.307397260276</v>
      </c>
      <c r="G173" s="282"/>
      <c r="H173" s="286"/>
      <c r="I173" s="256">
        <v>365</v>
      </c>
      <c r="J173" s="256"/>
    </row>
    <row r="174" spans="1:10" ht="12.75" outlineLevel="1">
      <c r="A174" s="307">
        <v>49674</v>
      </c>
      <c r="B174" s="282">
        <f>A174-A173</f>
        <v>92</v>
      </c>
      <c r="C174" s="282">
        <f>C173-D174</f>
        <v>922000</v>
      </c>
      <c r="D174" s="282"/>
      <c r="E174" s="308">
        <f>$E$11+$E$12</f>
        <v>0.0753</v>
      </c>
      <c r="F174" s="285">
        <f>B174*C173*E174/I174</f>
        <v>17499.307397260276</v>
      </c>
      <c r="G174" s="282"/>
      <c r="H174" s="286"/>
      <c r="I174" s="256">
        <v>365</v>
      </c>
      <c r="J174" s="256"/>
    </row>
    <row r="175" spans="1:10" ht="12.75" outlineLevel="1">
      <c r="A175" s="309"/>
      <c r="B175" s="288"/>
      <c r="C175" s="288">
        <f>C174</f>
        <v>922000</v>
      </c>
      <c r="D175" s="288">
        <f>SUM(D171:D174)</f>
        <v>195000</v>
      </c>
      <c r="E175" s="289"/>
      <c r="F175" s="274">
        <f>SUM(F171:F174)</f>
        <v>73047.18904109589</v>
      </c>
      <c r="G175" s="288"/>
      <c r="H175" s="290"/>
      <c r="I175" s="256"/>
      <c r="J175" s="256"/>
    </row>
    <row r="176" spans="1:10" ht="12.75" outlineLevel="1">
      <c r="A176" s="310"/>
      <c r="B176" s="311"/>
      <c r="C176" s="311"/>
      <c r="D176" s="311"/>
      <c r="E176" s="314"/>
      <c r="F176" s="315"/>
      <c r="G176" s="311"/>
      <c r="H176" s="313"/>
      <c r="I176" s="256"/>
      <c r="J176" s="256"/>
    </row>
    <row r="177" spans="1:10" ht="12.75" outlineLevel="1">
      <c r="A177" s="864" t="s">
        <v>113</v>
      </c>
      <c r="B177" s="864"/>
      <c r="C177" s="864"/>
      <c r="D177" s="864"/>
      <c r="E177" s="864"/>
      <c r="F177" s="864"/>
      <c r="G177" s="864"/>
      <c r="H177" s="864"/>
      <c r="I177" s="256"/>
      <c r="J177" s="256"/>
    </row>
    <row r="178" spans="1:10" ht="12.75" outlineLevel="1">
      <c r="A178" s="271"/>
      <c r="B178" s="272"/>
      <c r="C178" s="272"/>
      <c r="D178" s="272"/>
      <c r="E178" s="273"/>
      <c r="F178" s="274"/>
      <c r="G178" s="272"/>
      <c r="H178" s="275"/>
      <c r="I178" s="256"/>
      <c r="J178" s="256"/>
    </row>
    <row r="179" spans="1:10" ht="22.5" outlineLevel="1">
      <c r="A179" s="276" t="s">
        <v>114</v>
      </c>
      <c r="B179" s="277" t="s">
        <v>115</v>
      </c>
      <c r="C179" s="277" t="s">
        <v>116</v>
      </c>
      <c r="D179" s="277" t="s">
        <v>117</v>
      </c>
      <c r="E179" s="278" t="s">
        <v>118</v>
      </c>
      <c r="F179" s="279" t="s">
        <v>48</v>
      </c>
      <c r="G179" s="277"/>
      <c r="H179" s="280"/>
      <c r="I179" s="256"/>
      <c r="J179" s="256"/>
    </row>
    <row r="180" spans="1:10" ht="12.75" outlineLevel="1">
      <c r="A180" s="281" t="s">
        <v>134</v>
      </c>
      <c r="B180" s="282"/>
      <c r="C180" s="282">
        <f>C175</f>
        <v>922000</v>
      </c>
      <c r="D180" s="282"/>
      <c r="E180" s="284"/>
      <c r="F180" s="285"/>
      <c r="G180" s="282"/>
      <c r="H180" s="286"/>
      <c r="I180" s="256"/>
      <c r="J180" s="256"/>
    </row>
    <row r="181" spans="1:10" ht="12.75" outlineLevel="1">
      <c r="A181" s="307">
        <v>49765</v>
      </c>
      <c r="B181" s="282">
        <f>A181-A174</f>
        <v>91</v>
      </c>
      <c r="C181" s="282">
        <f>C180-D181</f>
        <v>727000</v>
      </c>
      <c r="D181" s="282">
        <v>195000</v>
      </c>
      <c r="E181" s="308">
        <f>$E$11+$E$12</f>
        <v>0.0753</v>
      </c>
      <c r="F181" s="285">
        <f>B181*C180*E181/I181</f>
        <v>17309.097534246575</v>
      </c>
      <c r="G181" s="282"/>
      <c r="H181" s="286"/>
      <c r="I181" s="256">
        <v>365</v>
      </c>
      <c r="J181" s="256"/>
    </row>
    <row r="182" spans="1:10" ht="12.75" outlineLevel="1">
      <c r="A182" s="307">
        <v>49856</v>
      </c>
      <c r="B182" s="282">
        <f>A182-A181</f>
        <v>91</v>
      </c>
      <c r="C182" s="282">
        <f>C181-D182</f>
        <v>727000</v>
      </c>
      <c r="D182" s="282"/>
      <c r="E182" s="308">
        <f>$E$11+$E$12</f>
        <v>0.0753</v>
      </c>
      <c r="F182" s="285">
        <f>B182*C181*E182/I182</f>
        <v>13648.279726027398</v>
      </c>
      <c r="G182" s="282"/>
      <c r="H182" s="286"/>
      <c r="I182" s="256">
        <v>365</v>
      </c>
      <c r="J182" s="256"/>
    </row>
    <row r="183" spans="1:10" ht="12.75" outlineLevel="1">
      <c r="A183" s="307">
        <v>49948</v>
      </c>
      <c r="B183" s="282">
        <f>A183-A182</f>
        <v>92</v>
      </c>
      <c r="C183" s="282">
        <f>C182-D183</f>
        <v>727000</v>
      </c>
      <c r="D183" s="282"/>
      <c r="E183" s="308">
        <f>$E$11+$E$12</f>
        <v>0.0753</v>
      </c>
      <c r="F183" s="285">
        <f>B183*C182*E183/I183</f>
        <v>13798.26082191781</v>
      </c>
      <c r="G183" s="282"/>
      <c r="H183" s="286"/>
      <c r="I183" s="256">
        <v>365</v>
      </c>
      <c r="J183" s="256"/>
    </row>
    <row r="184" spans="1:10" ht="12.75" outlineLevel="1">
      <c r="A184" s="307">
        <v>50040</v>
      </c>
      <c r="B184" s="282">
        <f>A184-A183</f>
        <v>92</v>
      </c>
      <c r="C184" s="282">
        <f>C183-D184</f>
        <v>727000</v>
      </c>
      <c r="D184" s="282"/>
      <c r="E184" s="308">
        <f>$E$11+$E$12</f>
        <v>0.0753</v>
      </c>
      <c r="F184" s="285">
        <f>B184*C183*E184/I184</f>
        <v>13798.26082191781</v>
      </c>
      <c r="G184" s="282"/>
      <c r="H184" s="286"/>
      <c r="I184" s="256">
        <v>365</v>
      </c>
      <c r="J184" s="256"/>
    </row>
    <row r="185" spans="1:10" ht="12.75" outlineLevel="1">
      <c r="A185" s="309"/>
      <c r="B185" s="288"/>
      <c r="C185" s="288">
        <f>C184</f>
        <v>727000</v>
      </c>
      <c r="D185" s="288">
        <f>SUM(D181:D184)</f>
        <v>195000</v>
      </c>
      <c r="E185" s="289"/>
      <c r="F185" s="274">
        <f>SUM(F181:F184)</f>
        <v>58553.89890410959</v>
      </c>
      <c r="G185" s="288"/>
      <c r="H185" s="290"/>
      <c r="I185" s="256"/>
      <c r="J185" s="256"/>
    </row>
    <row r="186" spans="1:10" ht="12.75" outlineLevel="1">
      <c r="A186" s="256"/>
      <c r="B186" s="255"/>
      <c r="C186" s="255"/>
      <c r="D186" s="255"/>
      <c r="E186" s="257"/>
      <c r="F186" s="258"/>
      <c r="G186" s="255"/>
      <c r="H186" s="255"/>
      <c r="I186" s="256"/>
      <c r="J186" s="256"/>
    </row>
    <row r="187" spans="1:9" ht="12.75" outlineLevel="1">
      <c r="A187" s="864" t="s">
        <v>113</v>
      </c>
      <c r="B187" s="864"/>
      <c r="C187" s="864"/>
      <c r="D187" s="864"/>
      <c r="E187" s="864"/>
      <c r="F187" s="864"/>
      <c r="G187" s="864"/>
      <c r="H187" s="864"/>
      <c r="I187" s="256"/>
    </row>
    <row r="188" spans="1:9" ht="12.75" outlineLevel="1">
      <c r="A188" s="271"/>
      <c r="B188" s="272"/>
      <c r="C188" s="272"/>
      <c r="D188" s="272"/>
      <c r="E188" s="273"/>
      <c r="F188" s="274"/>
      <c r="G188" s="272"/>
      <c r="H188" s="275"/>
      <c r="I188" s="256"/>
    </row>
    <row r="189" spans="1:9" ht="22.5" outlineLevel="1">
      <c r="A189" s="276" t="s">
        <v>114</v>
      </c>
      <c r="B189" s="277" t="s">
        <v>115</v>
      </c>
      <c r="C189" s="277" t="s">
        <v>116</v>
      </c>
      <c r="D189" s="277" t="s">
        <v>117</v>
      </c>
      <c r="E189" s="278" t="s">
        <v>118</v>
      </c>
      <c r="F189" s="279" t="s">
        <v>48</v>
      </c>
      <c r="G189" s="277"/>
      <c r="H189" s="280"/>
      <c r="I189" s="256"/>
    </row>
    <row r="190" spans="1:9" ht="12.75" outlineLevel="1">
      <c r="A190" s="281" t="s">
        <v>135</v>
      </c>
      <c r="B190" s="282"/>
      <c r="C190" s="282">
        <f>C185</f>
        <v>727000</v>
      </c>
      <c r="D190" s="282"/>
      <c r="E190" s="284"/>
      <c r="F190" s="285"/>
      <c r="G190" s="282"/>
      <c r="H190" s="286"/>
      <c r="I190" s="256"/>
    </row>
    <row r="191" spans="1:9" ht="12.75" outlineLevel="1">
      <c r="A191" s="307">
        <v>50130</v>
      </c>
      <c r="B191" s="282">
        <f>A191-A184</f>
        <v>90</v>
      </c>
      <c r="C191" s="282">
        <f>C190-D191</f>
        <v>457000</v>
      </c>
      <c r="D191" s="282">
        <v>270000</v>
      </c>
      <c r="E191" s="308">
        <f>$E$11+$E$12</f>
        <v>0.0753</v>
      </c>
      <c r="F191" s="285">
        <f>B191*C190*E191/I191</f>
        <v>13498.298630136986</v>
      </c>
      <c r="G191" s="282"/>
      <c r="H191" s="286"/>
      <c r="I191" s="256">
        <v>365</v>
      </c>
    </row>
    <row r="192" spans="1:9" ht="12.75" outlineLevel="1">
      <c r="A192" s="307">
        <v>50221</v>
      </c>
      <c r="B192" s="282">
        <f>A192-A191</f>
        <v>91</v>
      </c>
      <c r="C192" s="282">
        <f>C191-D192</f>
        <v>457000</v>
      </c>
      <c r="D192" s="282"/>
      <c r="E192" s="308">
        <f>$E$11+$E$12</f>
        <v>0.0753</v>
      </c>
      <c r="F192" s="285">
        <f>B192*C191*E192/I192</f>
        <v>8579.455068493151</v>
      </c>
      <c r="G192" s="282"/>
      <c r="H192" s="286"/>
      <c r="I192" s="256">
        <v>365</v>
      </c>
    </row>
    <row r="193" spans="1:10" ht="12.75" outlineLevel="1">
      <c r="A193" s="307">
        <v>50313</v>
      </c>
      <c r="B193" s="282">
        <f>A193-A192</f>
        <v>92</v>
      </c>
      <c r="C193" s="282">
        <f>C192-D193</f>
        <v>457000</v>
      </c>
      <c r="D193" s="282"/>
      <c r="E193" s="308">
        <f>$E$11+$E$12</f>
        <v>0.0753</v>
      </c>
      <c r="F193" s="285">
        <f>B193*C192*E193/I193</f>
        <v>8673.73479452055</v>
      </c>
      <c r="G193" s="282"/>
      <c r="H193" s="286"/>
      <c r="I193" s="256">
        <v>365</v>
      </c>
      <c r="J193" s="256"/>
    </row>
    <row r="194" spans="1:10" ht="12.75" outlineLevel="1">
      <c r="A194" s="307">
        <v>50405</v>
      </c>
      <c r="B194" s="282">
        <f>A194-A193</f>
        <v>92</v>
      </c>
      <c r="C194" s="282">
        <f>C193-D194</f>
        <v>457000</v>
      </c>
      <c r="D194" s="282"/>
      <c r="E194" s="308">
        <f>$E$11+$E$12</f>
        <v>0.0753</v>
      </c>
      <c r="F194" s="285">
        <f>B194*C193*E194/I194</f>
        <v>8673.73479452055</v>
      </c>
      <c r="G194" s="282"/>
      <c r="H194" s="286"/>
      <c r="I194" s="256">
        <v>365</v>
      </c>
      <c r="J194" s="256"/>
    </row>
    <row r="195" spans="1:9" ht="12.75" outlineLevel="1">
      <c r="A195" s="309"/>
      <c r="B195" s="288"/>
      <c r="C195" s="288">
        <f>C194</f>
        <v>457000</v>
      </c>
      <c r="D195" s="288">
        <f>SUM(D191:D194)</f>
        <v>270000</v>
      </c>
      <c r="E195" s="289"/>
      <c r="F195" s="274">
        <f>SUM(F191:F194)</f>
        <v>39425.22328767123</v>
      </c>
      <c r="G195" s="288"/>
      <c r="H195" s="290"/>
      <c r="I195" s="256"/>
    </row>
    <row r="196" ht="12.75" outlineLevel="1"/>
    <row r="197" spans="1:9" ht="12.75" outlineLevel="1">
      <c r="A197" s="864" t="s">
        <v>113</v>
      </c>
      <c r="B197" s="864"/>
      <c r="C197" s="864"/>
      <c r="D197" s="864"/>
      <c r="E197" s="864"/>
      <c r="F197" s="864"/>
      <c r="G197" s="864"/>
      <c r="H197" s="864"/>
      <c r="I197" s="256"/>
    </row>
    <row r="198" spans="1:9" ht="12.75" outlineLevel="1">
      <c r="A198" s="271"/>
      <c r="B198" s="272"/>
      <c r="C198" s="272"/>
      <c r="D198" s="272"/>
      <c r="E198" s="273"/>
      <c r="F198" s="274"/>
      <c r="G198" s="272"/>
      <c r="H198" s="275"/>
      <c r="I198" s="256"/>
    </row>
    <row r="199" spans="1:9" ht="22.5" outlineLevel="1">
      <c r="A199" s="276" t="s">
        <v>114</v>
      </c>
      <c r="B199" s="277" t="s">
        <v>115</v>
      </c>
      <c r="C199" s="277" t="s">
        <v>116</v>
      </c>
      <c r="D199" s="277" t="s">
        <v>117</v>
      </c>
      <c r="E199" s="278" t="s">
        <v>118</v>
      </c>
      <c r="F199" s="279" t="s">
        <v>48</v>
      </c>
      <c r="G199" s="277"/>
      <c r="H199" s="280"/>
      <c r="I199" s="256"/>
    </row>
    <row r="200" spans="1:9" ht="12.75" outlineLevel="1">
      <c r="A200" s="281" t="s">
        <v>136</v>
      </c>
      <c r="B200" s="282"/>
      <c r="C200" s="282">
        <f>C195</f>
        <v>457000</v>
      </c>
      <c r="D200" s="282"/>
      <c r="E200" s="284"/>
      <c r="F200" s="285"/>
      <c r="G200" s="282"/>
      <c r="H200" s="286"/>
      <c r="I200" s="256"/>
    </row>
    <row r="201" spans="1:9" ht="12.75" outlineLevel="1">
      <c r="A201" s="307">
        <v>50495</v>
      </c>
      <c r="B201" s="282">
        <f>A201-A194</f>
        <v>90</v>
      </c>
      <c r="C201" s="282">
        <f>C200-D201</f>
        <v>187000</v>
      </c>
      <c r="D201" s="282">
        <v>270000</v>
      </c>
      <c r="E201" s="308">
        <f>$E$11+$E$12</f>
        <v>0.0753</v>
      </c>
      <c r="F201" s="285">
        <f>B201*C200*E201/I201</f>
        <v>8485.175342465755</v>
      </c>
      <c r="G201" s="282"/>
      <c r="H201" s="286"/>
      <c r="I201" s="256">
        <v>365</v>
      </c>
    </row>
    <row r="202" spans="1:9" ht="12.75" outlineLevel="1">
      <c r="A202" s="307">
        <v>50586</v>
      </c>
      <c r="B202" s="282">
        <f>A202-A201</f>
        <v>91</v>
      </c>
      <c r="C202" s="282">
        <f>C201-D202</f>
        <v>187000</v>
      </c>
      <c r="D202" s="282"/>
      <c r="E202" s="308">
        <f>$E$11+$E$12</f>
        <v>0.0753</v>
      </c>
      <c r="F202" s="285">
        <f>B202*C201*E202/I202</f>
        <v>3510.6304109589046</v>
      </c>
      <c r="G202" s="282"/>
      <c r="H202" s="286"/>
      <c r="I202" s="256">
        <v>365</v>
      </c>
    </row>
    <row r="203" spans="1:9" ht="12.75" outlineLevel="1">
      <c r="A203" s="307">
        <v>50678</v>
      </c>
      <c r="B203" s="282">
        <f>A203-A202</f>
        <v>92</v>
      </c>
      <c r="C203" s="282">
        <f>C202-D203</f>
        <v>187000</v>
      </c>
      <c r="D203" s="282"/>
      <c r="E203" s="308">
        <f>$E$11+$E$12</f>
        <v>0.0753</v>
      </c>
      <c r="F203" s="285">
        <f>B203*C202*E203/I203</f>
        <v>3549.208767123288</v>
      </c>
      <c r="G203" s="282"/>
      <c r="H203" s="286"/>
      <c r="I203" s="256">
        <v>365</v>
      </c>
    </row>
    <row r="204" spans="1:9" ht="12.75" outlineLevel="1">
      <c r="A204" s="307">
        <v>50770</v>
      </c>
      <c r="B204" s="282">
        <f>A204-A203</f>
        <v>92</v>
      </c>
      <c r="C204" s="282">
        <f>C203-D204</f>
        <v>187000</v>
      </c>
      <c r="D204" s="282"/>
      <c r="E204" s="308">
        <f>$E$11+$E$12</f>
        <v>0.0753</v>
      </c>
      <c r="F204" s="285">
        <f>B204*C203*E204/I204</f>
        <v>3549.208767123288</v>
      </c>
      <c r="G204" s="282"/>
      <c r="H204" s="286"/>
      <c r="I204" s="256">
        <v>365</v>
      </c>
    </row>
    <row r="205" spans="1:9" ht="12.75" outlineLevel="1">
      <c r="A205" s="309"/>
      <c r="B205" s="288"/>
      <c r="C205" s="288">
        <f>C204</f>
        <v>187000</v>
      </c>
      <c r="D205" s="288">
        <f>SUM(D201:D204)</f>
        <v>270000</v>
      </c>
      <c r="E205" s="289"/>
      <c r="F205" s="274">
        <f>SUM(F201:F204)</f>
        <v>19094.223287671233</v>
      </c>
      <c r="G205" s="288"/>
      <c r="H205" s="290"/>
      <c r="I205" s="256"/>
    </row>
    <row r="206" ht="12.75" outlineLevel="1"/>
    <row r="207" spans="1:9" ht="12.75" outlineLevel="1">
      <c r="A207" s="864" t="s">
        <v>113</v>
      </c>
      <c r="B207" s="864"/>
      <c r="C207" s="864"/>
      <c r="D207" s="864"/>
      <c r="E207" s="864"/>
      <c r="F207" s="864"/>
      <c r="G207" s="864"/>
      <c r="H207" s="864"/>
      <c r="I207" s="256"/>
    </row>
    <row r="208" spans="1:9" ht="12.75" outlineLevel="1">
      <c r="A208" s="271"/>
      <c r="B208" s="272"/>
      <c r="C208" s="272"/>
      <c r="D208" s="272"/>
      <c r="E208" s="273"/>
      <c r="F208" s="274"/>
      <c r="G208" s="272"/>
      <c r="H208" s="275"/>
      <c r="I208" s="256"/>
    </row>
    <row r="209" spans="1:9" ht="22.5" outlineLevel="1">
      <c r="A209" s="276" t="s">
        <v>114</v>
      </c>
      <c r="B209" s="277" t="s">
        <v>115</v>
      </c>
      <c r="C209" s="277" t="s">
        <v>116</v>
      </c>
      <c r="D209" s="277" t="s">
        <v>117</v>
      </c>
      <c r="E209" s="278" t="s">
        <v>118</v>
      </c>
      <c r="F209" s="279" t="s">
        <v>48</v>
      </c>
      <c r="G209" s="277"/>
      <c r="H209" s="280"/>
      <c r="I209" s="256"/>
    </row>
    <row r="210" spans="1:9" ht="12.75" outlineLevel="1">
      <c r="A210" s="281" t="s">
        <v>137</v>
      </c>
      <c r="B210" s="282"/>
      <c r="C210" s="282">
        <f>C205</f>
        <v>187000</v>
      </c>
      <c r="D210" s="282"/>
      <c r="E210" s="284"/>
      <c r="F210" s="285"/>
      <c r="G210" s="282"/>
      <c r="H210" s="286"/>
      <c r="I210" s="256"/>
    </row>
    <row r="211" spans="1:10" ht="12.75" outlineLevel="1">
      <c r="A211" s="307">
        <v>50860</v>
      </c>
      <c r="B211" s="282">
        <f>A211-A204</f>
        <v>90</v>
      </c>
      <c r="C211" s="282">
        <f>C210-D211</f>
        <v>117000</v>
      </c>
      <c r="D211" s="282">
        <v>70000</v>
      </c>
      <c r="E211" s="308">
        <f>$E$11+$E$12</f>
        <v>0.0753</v>
      </c>
      <c r="F211" s="285">
        <f>B211*C210*E211/I211</f>
        <v>3472.0520547945207</v>
      </c>
      <c r="G211" s="282"/>
      <c r="H211" s="286"/>
      <c r="I211" s="256">
        <v>365</v>
      </c>
      <c r="J211" s="256"/>
    </row>
    <row r="212" spans="1:10" ht="12.75" outlineLevel="1">
      <c r="A212" s="307">
        <v>50951</v>
      </c>
      <c r="B212" s="282">
        <f>A212-A211</f>
        <v>91</v>
      </c>
      <c r="C212" s="282">
        <f>C211-D212</f>
        <v>117000</v>
      </c>
      <c r="D212" s="282"/>
      <c r="E212" s="308">
        <f>$E$11+$E$12</f>
        <v>0.0753</v>
      </c>
      <c r="F212" s="285">
        <f>B212*C211*E212/I212</f>
        <v>2196.490684931507</v>
      </c>
      <c r="G212" s="282"/>
      <c r="H212" s="286"/>
      <c r="I212" s="256">
        <v>365</v>
      </c>
      <c r="J212" s="256"/>
    </row>
    <row r="213" spans="1:10" ht="12.75" outlineLevel="1">
      <c r="A213" s="307">
        <v>51043</v>
      </c>
      <c r="B213" s="282">
        <f>A213-A212</f>
        <v>92</v>
      </c>
      <c r="C213" s="282">
        <f>C212-D213</f>
        <v>117000</v>
      </c>
      <c r="D213" s="282"/>
      <c r="E213" s="308">
        <f>$E$11+$E$12</f>
        <v>0.0753</v>
      </c>
      <c r="F213" s="285">
        <f>B213*C212*E213/I213</f>
        <v>2220.6279452054796</v>
      </c>
      <c r="G213" s="282"/>
      <c r="H213" s="286"/>
      <c r="I213" s="256">
        <v>365</v>
      </c>
      <c r="J213" s="256"/>
    </row>
    <row r="214" spans="1:10" ht="12.75" outlineLevel="1">
      <c r="A214" s="307">
        <v>51135</v>
      </c>
      <c r="B214" s="282">
        <f>A214-A213</f>
        <v>92</v>
      </c>
      <c r="C214" s="282">
        <f>C213-D214</f>
        <v>117000</v>
      </c>
      <c r="D214" s="282"/>
      <c r="E214" s="308">
        <f>$E$11+$E$12</f>
        <v>0.0753</v>
      </c>
      <c r="F214" s="285">
        <f>B214*C213*E214/I214</f>
        <v>2220.6279452054796</v>
      </c>
      <c r="G214" s="282"/>
      <c r="H214" s="286"/>
      <c r="I214" s="256">
        <v>365</v>
      </c>
      <c r="J214" s="256"/>
    </row>
    <row r="215" spans="1:10" ht="12.75" outlineLevel="1">
      <c r="A215" s="309"/>
      <c r="B215" s="288"/>
      <c r="C215" s="288">
        <f>C214</f>
        <v>117000</v>
      </c>
      <c r="D215" s="288">
        <f>SUM(D211:D214)</f>
        <v>70000</v>
      </c>
      <c r="E215" s="289"/>
      <c r="F215" s="274">
        <f>SUM(F211:F214)</f>
        <v>10109.798630136987</v>
      </c>
      <c r="G215" s="288"/>
      <c r="H215" s="290"/>
      <c r="I215" s="256"/>
      <c r="J215" s="256"/>
    </row>
    <row r="216" spans="1:10" ht="12.75" outlineLevel="1">
      <c r="A216" s="256"/>
      <c r="B216" s="255"/>
      <c r="G216" s="255"/>
      <c r="H216" s="255"/>
      <c r="I216" s="256"/>
      <c r="J216" s="256"/>
    </row>
    <row r="217" spans="1:9" ht="12.75" outlineLevel="1">
      <c r="A217" s="864" t="s">
        <v>113</v>
      </c>
      <c r="B217" s="864"/>
      <c r="C217" s="864"/>
      <c r="D217" s="864"/>
      <c r="E217" s="864"/>
      <c r="F217" s="864"/>
      <c r="G217" s="864"/>
      <c r="H217" s="864"/>
      <c r="I217" s="256"/>
    </row>
    <row r="218" spans="1:9" ht="12.75" outlineLevel="1">
      <c r="A218" s="271"/>
      <c r="B218" s="272"/>
      <c r="C218" s="272"/>
      <c r="D218" s="272"/>
      <c r="E218" s="273"/>
      <c r="F218" s="274"/>
      <c r="G218" s="272"/>
      <c r="H218" s="275"/>
      <c r="I218" s="256"/>
    </row>
    <row r="219" spans="1:9" ht="22.5" outlineLevel="1">
      <c r="A219" s="276" t="s">
        <v>114</v>
      </c>
      <c r="B219" s="277" t="s">
        <v>115</v>
      </c>
      <c r="C219" s="277" t="s">
        <v>116</v>
      </c>
      <c r="D219" s="277" t="s">
        <v>117</v>
      </c>
      <c r="E219" s="278" t="s">
        <v>118</v>
      </c>
      <c r="F219" s="279" t="s">
        <v>48</v>
      </c>
      <c r="G219" s="277"/>
      <c r="H219" s="280"/>
      <c r="I219" s="256"/>
    </row>
    <row r="220" spans="1:9" ht="12.75" outlineLevel="1">
      <c r="A220" s="281" t="s">
        <v>138</v>
      </c>
      <c r="B220" s="282"/>
      <c r="C220" s="282">
        <f>C215</f>
        <v>117000</v>
      </c>
      <c r="D220" s="282"/>
      <c r="E220" s="284"/>
      <c r="F220" s="285"/>
      <c r="G220" s="282"/>
      <c r="H220" s="286"/>
      <c r="I220" s="256"/>
    </row>
    <row r="221" spans="1:9" ht="12.75" outlineLevel="1">
      <c r="A221" s="307">
        <v>51226</v>
      </c>
      <c r="B221" s="282">
        <f>A221-A214</f>
        <v>91</v>
      </c>
      <c r="C221" s="282">
        <f>C220-D221</f>
        <v>47000</v>
      </c>
      <c r="D221" s="282">
        <v>70000</v>
      </c>
      <c r="E221" s="308">
        <f>$E$11+$E$12</f>
        <v>0.0753</v>
      </c>
      <c r="F221" s="285">
        <f>B221*C220*E221/I221</f>
        <v>2196.490684931507</v>
      </c>
      <c r="G221" s="282"/>
      <c r="H221" s="286"/>
      <c r="I221" s="256">
        <v>365</v>
      </c>
    </row>
    <row r="222" spans="1:9" ht="12.75" outlineLevel="1">
      <c r="A222" s="307">
        <v>51317</v>
      </c>
      <c r="B222" s="282">
        <f>A222-A221</f>
        <v>91</v>
      </c>
      <c r="C222" s="282">
        <f>C221-D222</f>
        <v>47000</v>
      </c>
      <c r="D222" s="282"/>
      <c r="E222" s="308">
        <f>$E$11+$E$12</f>
        <v>0.0753</v>
      </c>
      <c r="F222" s="285">
        <f>B222*C221*E222/I222</f>
        <v>882.3509589041097</v>
      </c>
      <c r="G222" s="282"/>
      <c r="H222" s="286"/>
      <c r="I222" s="256">
        <v>365</v>
      </c>
    </row>
    <row r="223" spans="1:9" ht="12.75" outlineLevel="1">
      <c r="A223" s="307">
        <v>51409</v>
      </c>
      <c r="B223" s="282">
        <f>A223-A222</f>
        <v>92</v>
      </c>
      <c r="C223" s="282">
        <f>C222-D223</f>
        <v>47000</v>
      </c>
      <c r="D223" s="282"/>
      <c r="E223" s="308">
        <f>$E$11+$E$12</f>
        <v>0.0753</v>
      </c>
      <c r="F223" s="285">
        <f>B223*C222*E223/I223</f>
        <v>892.0471232876713</v>
      </c>
      <c r="G223" s="282"/>
      <c r="H223" s="286"/>
      <c r="I223" s="256">
        <v>365</v>
      </c>
    </row>
    <row r="224" spans="1:9" ht="12.75" outlineLevel="1">
      <c r="A224" s="307">
        <v>51501</v>
      </c>
      <c r="B224" s="282">
        <f>A224-A223</f>
        <v>92</v>
      </c>
      <c r="C224" s="282">
        <f>C223-D224</f>
        <v>47000</v>
      </c>
      <c r="D224" s="282"/>
      <c r="E224" s="308">
        <f>$E$11+$E$12</f>
        <v>0.0753</v>
      </c>
      <c r="F224" s="285">
        <f>B224*C223*E224/I224</f>
        <v>892.0471232876713</v>
      </c>
      <c r="G224" s="282"/>
      <c r="H224" s="286"/>
      <c r="I224" s="256">
        <v>365</v>
      </c>
    </row>
    <row r="225" spans="1:9" ht="12.75" outlineLevel="1">
      <c r="A225" s="309"/>
      <c r="B225" s="288"/>
      <c r="C225" s="288">
        <f>C224</f>
        <v>47000</v>
      </c>
      <c r="D225" s="288">
        <f>SUM(D221:D224)</f>
        <v>70000</v>
      </c>
      <c r="E225" s="289"/>
      <c r="F225" s="274">
        <f>SUM(F221:F224)</f>
        <v>4862.9358904109595</v>
      </c>
      <c r="G225" s="288"/>
      <c r="H225" s="290"/>
      <c r="I225" s="256"/>
    </row>
    <row r="226" ht="12.75" outlineLevel="1"/>
    <row r="227" spans="1:9" ht="12.75" outlineLevel="1">
      <c r="A227" s="864" t="s">
        <v>113</v>
      </c>
      <c r="B227" s="864"/>
      <c r="C227" s="864"/>
      <c r="D227" s="864"/>
      <c r="E227" s="864"/>
      <c r="F227" s="864"/>
      <c r="G227" s="864"/>
      <c r="H227" s="864"/>
      <c r="I227" s="256"/>
    </row>
    <row r="228" spans="1:9" ht="12.75" outlineLevel="1">
      <c r="A228" s="271"/>
      <c r="B228" s="272"/>
      <c r="C228" s="272"/>
      <c r="D228" s="272"/>
      <c r="E228" s="273"/>
      <c r="F228" s="274"/>
      <c r="G228" s="272"/>
      <c r="H228" s="275"/>
      <c r="I228" s="256"/>
    </row>
    <row r="229" spans="1:9" ht="22.5" outlineLevel="1">
      <c r="A229" s="276" t="s">
        <v>114</v>
      </c>
      <c r="B229" s="277" t="s">
        <v>115</v>
      </c>
      <c r="C229" s="277" t="s">
        <v>116</v>
      </c>
      <c r="D229" s="277" t="s">
        <v>117</v>
      </c>
      <c r="E229" s="278" t="s">
        <v>118</v>
      </c>
      <c r="F229" s="279" t="s">
        <v>48</v>
      </c>
      <c r="G229" s="277"/>
      <c r="H229" s="280"/>
      <c r="I229" s="256"/>
    </row>
    <row r="230" spans="1:9" ht="12.75" outlineLevel="1">
      <c r="A230" s="281" t="s">
        <v>139</v>
      </c>
      <c r="B230" s="282"/>
      <c r="C230" s="282">
        <f>C225</f>
        <v>47000</v>
      </c>
      <c r="D230" s="282"/>
      <c r="E230" s="284"/>
      <c r="F230" s="285"/>
      <c r="G230" s="282"/>
      <c r="H230" s="286"/>
      <c r="I230" s="256"/>
    </row>
    <row r="231" spans="1:9" ht="12.75" outlineLevel="1">
      <c r="A231" s="307">
        <v>51591</v>
      </c>
      <c r="B231" s="282">
        <f>A231-A224</f>
        <v>90</v>
      </c>
      <c r="C231" s="282">
        <f>C230-D231</f>
        <v>0</v>
      </c>
      <c r="D231" s="282">
        <v>47000</v>
      </c>
      <c r="E231" s="308">
        <f>$E$11+$E$12</f>
        <v>0.0753</v>
      </c>
      <c r="F231" s="285">
        <f>B231*C230*E231/I231</f>
        <v>872.654794520548</v>
      </c>
      <c r="G231" s="282"/>
      <c r="H231" s="286"/>
      <c r="I231" s="256">
        <v>365</v>
      </c>
    </row>
    <row r="232" spans="1:9" ht="12.75" outlineLevel="1">
      <c r="A232" s="307">
        <v>51682</v>
      </c>
      <c r="B232" s="282">
        <f>A232-A231</f>
        <v>91</v>
      </c>
      <c r="C232" s="282">
        <f>C231-D232</f>
        <v>0</v>
      </c>
      <c r="D232" s="282"/>
      <c r="E232" s="308">
        <f>$E$11+$E$12</f>
        <v>0.0753</v>
      </c>
      <c r="F232" s="285">
        <f>B232*C231*E232/I232</f>
        <v>0</v>
      </c>
      <c r="G232" s="282"/>
      <c r="H232" s="286"/>
      <c r="I232" s="256">
        <v>365</v>
      </c>
    </row>
    <row r="233" spans="1:9" ht="12.75" outlineLevel="1">
      <c r="A233" s="307">
        <v>51774</v>
      </c>
      <c r="B233" s="282">
        <f>A233-A232</f>
        <v>92</v>
      </c>
      <c r="C233" s="282">
        <f>C232-D233</f>
        <v>0</v>
      </c>
      <c r="D233" s="282"/>
      <c r="E233" s="308">
        <f>$E$11+$E$12</f>
        <v>0.0753</v>
      </c>
      <c r="F233" s="285">
        <f>B233*C232*E233/I233</f>
        <v>0</v>
      </c>
      <c r="G233" s="282"/>
      <c r="H233" s="286"/>
      <c r="I233" s="256">
        <v>365</v>
      </c>
    </row>
    <row r="234" spans="1:9" ht="12.75" outlineLevel="1">
      <c r="A234" s="307">
        <v>51866</v>
      </c>
      <c r="B234" s="282">
        <f>A234-A233</f>
        <v>92</v>
      </c>
      <c r="C234" s="282">
        <f>C233-D234</f>
        <v>0</v>
      </c>
      <c r="D234" s="282"/>
      <c r="E234" s="308">
        <f>$E$11+$E$12</f>
        <v>0.0753</v>
      </c>
      <c r="F234" s="285">
        <f>B234*C233*E234/I234</f>
        <v>0</v>
      </c>
      <c r="G234" s="282"/>
      <c r="H234" s="286"/>
      <c r="I234" s="256">
        <v>365</v>
      </c>
    </row>
    <row r="235" spans="1:9" ht="12.75" outlineLevel="1">
      <c r="A235" s="309"/>
      <c r="B235" s="288"/>
      <c r="C235" s="288">
        <f>C234</f>
        <v>0</v>
      </c>
      <c r="D235" s="288">
        <f>SUM(D231:D234)</f>
        <v>47000</v>
      </c>
      <c r="E235" s="289"/>
      <c r="F235" s="274">
        <f>SUM(F231:F234)</f>
        <v>872.654794520548</v>
      </c>
      <c r="G235" s="288"/>
      <c r="H235" s="290"/>
      <c r="I235" s="256"/>
    </row>
    <row r="240" spans="2:5" ht="12.75">
      <c r="B240" s="255" t="s">
        <v>140</v>
      </c>
      <c r="C240" s="255" t="s">
        <v>141</v>
      </c>
      <c r="D240" s="257"/>
      <c r="E240" s="258">
        <f>+F25+F35+F45+F55+F65+F75+F85+F95+F105+F115+F125+F135+F145+F155+F165+F175+F185+F235+F195+F205+F215+F225</f>
        <v>5686091.209657534</v>
      </c>
    </row>
    <row r="241" spans="2:5" ht="12.75">
      <c r="B241" s="255" t="s">
        <v>142</v>
      </c>
      <c r="C241" s="255" t="s">
        <v>141</v>
      </c>
      <c r="D241" s="257"/>
      <c r="E241" s="258">
        <v>0</v>
      </c>
    </row>
    <row r="242" spans="2:5" ht="12.75">
      <c r="B242" s="255"/>
      <c r="C242" s="255"/>
      <c r="D242" s="257"/>
      <c r="E242" s="258"/>
    </row>
    <row r="243" spans="2:5" ht="12.75">
      <c r="B243" s="316" t="s">
        <v>143</v>
      </c>
      <c r="C243" s="316" t="s">
        <v>141</v>
      </c>
      <c r="D243" s="317"/>
      <c r="E243" s="318">
        <f>E240+E241</f>
        <v>5686091.209657534</v>
      </c>
    </row>
    <row r="244" spans="2:5" ht="12.75">
      <c r="B244" s="316" t="s">
        <v>143</v>
      </c>
      <c r="C244" s="316" t="s">
        <v>144</v>
      </c>
      <c r="D244" s="317"/>
      <c r="E244" s="318">
        <f>E243/4.4465</f>
        <v>1278779.0868452792</v>
      </c>
    </row>
    <row r="245" spans="2:5" ht="12.75">
      <c r="B245" s="316" t="s">
        <v>145</v>
      </c>
      <c r="C245" s="255"/>
      <c r="D245" s="257"/>
      <c r="E245" s="258"/>
    </row>
    <row r="250" spans="2:7" ht="12.75">
      <c r="B250" s="319"/>
      <c r="C250" s="320"/>
      <c r="D250" s="320"/>
      <c r="E250" s="865"/>
      <c r="F250" s="865"/>
      <c r="G250" s="865"/>
    </row>
    <row r="251" spans="2:7" ht="12.75">
      <c r="B251" s="319"/>
      <c r="C251" s="320"/>
      <c r="D251" s="320"/>
      <c r="E251" s="865"/>
      <c r="F251" s="865"/>
      <c r="G251" s="865"/>
    </row>
    <row r="252" spans="2:7" ht="12.75">
      <c r="B252" s="866"/>
      <c r="C252" s="866"/>
      <c r="D252" s="320"/>
      <c r="E252" s="865"/>
      <c r="F252" s="865"/>
      <c r="G252" s="865"/>
    </row>
    <row r="253" spans="2:7" ht="12.75" customHeight="1">
      <c r="B253" s="867" t="s">
        <v>146</v>
      </c>
      <c r="C253" s="867"/>
      <c r="D253" s="320"/>
      <c r="E253" s="868" t="s">
        <v>147</v>
      </c>
      <c r="F253" s="868"/>
      <c r="G253" s="868"/>
    </row>
    <row r="254" spans="2:7" ht="12.75">
      <c r="B254" s="319"/>
      <c r="C254" s="320"/>
      <c r="D254" s="320"/>
      <c r="E254" s="320"/>
      <c r="F254" s="321"/>
      <c r="G254" s="322"/>
    </row>
  </sheetData>
  <sheetProtection selectLockedCells="1" selectUnlockedCells="1"/>
  <mergeCells count="37">
    <mergeCell ref="A1:B1"/>
    <mergeCell ref="A2:B2"/>
    <mergeCell ref="A3:B3"/>
    <mergeCell ref="A4:B4"/>
    <mergeCell ref="A6:B6"/>
    <mergeCell ref="A8:F8"/>
    <mergeCell ref="M14:O16"/>
    <mergeCell ref="A15:F15"/>
    <mergeCell ref="A16:F16"/>
    <mergeCell ref="A17:F17"/>
    <mergeCell ref="A18:F18"/>
    <mergeCell ref="A21:H21"/>
    <mergeCell ref="A27:H27"/>
    <mergeCell ref="A37:H37"/>
    <mergeCell ref="A47:H47"/>
    <mergeCell ref="A57:H57"/>
    <mergeCell ref="A67:H67"/>
    <mergeCell ref="A77:H77"/>
    <mergeCell ref="A87:H87"/>
    <mergeCell ref="A97:H97"/>
    <mergeCell ref="A107:H107"/>
    <mergeCell ref="A117:H117"/>
    <mergeCell ref="A127:H127"/>
    <mergeCell ref="A137:H137"/>
    <mergeCell ref="A147:H147"/>
    <mergeCell ref="A157:H157"/>
    <mergeCell ref="A167:H167"/>
    <mergeCell ref="A177:H177"/>
    <mergeCell ref="A187:H187"/>
    <mergeCell ref="A197:H197"/>
    <mergeCell ref="A207:H207"/>
    <mergeCell ref="A217:H217"/>
    <mergeCell ref="A227:H227"/>
    <mergeCell ref="E250:G252"/>
    <mergeCell ref="B252:C252"/>
    <mergeCell ref="B253:C253"/>
    <mergeCell ref="E253:G253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zoomScaleSheetLayoutView="100" zoomScalePageLayoutView="0" workbookViewId="0" topLeftCell="A1">
      <selection activeCell="K42" sqref="K42"/>
    </sheetView>
  </sheetViews>
  <sheetFormatPr defaultColWidth="9.140625" defaultRowHeight="12.75"/>
  <cols>
    <col min="1" max="1" width="4.57421875" style="1" customWidth="1"/>
    <col min="2" max="2" width="12.28125" style="1" hidden="1" customWidth="1"/>
    <col min="3" max="3" width="10.7109375" style="1" customWidth="1"/>
    <col min="4" max="4" width="11.8515625" style="1" customWidth="1"/>
    <col min="5" max="5" width="10.8515625" style="1" hidden="1" customWidth="1"/>
    <col min="6" max="6" width="10.7109375" style="1" hidden="1" customWidth="1"/>
    <col min="7" max="7" width="12.00390625" style="1" customWidth="1"/>
    <col min="8" max="8" width="13.00390625" style="1" customWidth="1"/>
    <col min="9" max="9" width="15.28125" style="1" customWidth="1"/>
    <col min="10" max="11" width="12.57421875" style="1" customWidth="1"/>
    <col min="12" max="12" width="14.00390625" style="1" customWidth="1"/>
    <col min="13" max="13" width="12.7109375" style="1" hidden="1" customWidth="1"/>
    <col min="14" max="14" width="13.140625" style="1" customWidth="1"/>
    <col min="15" max="15" width="13.00390625" style="1" customWidth="1"/>
    <col min="16" max="17" width="12.7109375" style="1" customWidth="1"/>
    <col min="18" max="18" width="13.57421875" style="1" customWidth="1"/>
    <col min="19" max="19" width="13.421875" style="1" customWidth="1"/>
    <col min="20" max="20" width="13.7109375" style="1" hidden="1" customWidth="1"/>
    <col min="21" max="21" width="11.57421875" style="1" customWidth="1"/>
    <col min="22" max="22" width="13.57421875" style="1" customWidth="1"/>
    <col min="23" max="23" width="5.8515625" style="1" customWidth="1"/>
    <col min="24" max="24" width="11.8515625" style="1" customWidth="1"/>
    <col min="25" max="25" width="15.140625" style="1" customWidth="1"/>
    <col min="26" max="26" width="13.140625" style="1" customWidth="1"/>
    <col min="27" max="27" width="11.8515625" style="1" customWidth="1"/>
    <col min="28" max="28" width="10.421875" style="1" customWidth="1"/>
    <col min="29" max="16384" width="9.140625" style="1" customWidth="1"/>
  </cols>
  <sheetData>
    <row r="1" spans="3:18" ht="21">
      <c r="C1" s="846" t="s">
        <v>148</v>
      </c>
      <c r="D1" s="846"/>
      <c r="E1" s="846"/>
      <c r="F1" s="846"/>
      <c r="G1" s="846"/>
      <c r="H1" s="179" t="s">
        <v>86</v>
      </c>
      <c r="I1" s="180"/>
      <c r="L1" s="847" t="s">
        <v>2</v>
      </c>
      <c r="M1" s="847"/>
      <c r="N1" s="847"/>
      <c r="O1" s="847"/>
      <c r="P1" s="847"/>
      <c r="Q1" s="847"/>
      <c r="R1" s="847"/>
    </row>
    <row r="2" spans="4:27" ht="26.25" customHeight="1">
      <c r="D2" s="856" t="s">
        <v>87</v>
      </c>
      <c r="E2" s="856"/>
      <c r="F2" s="856"/>
      <c r="G2" s="856"/>
      <c r="H2" s="856"/>
      <c r="S2" s="3"/>
      <c r="T2" s="3"/>
      <c r="U2" s="4"/>
      <c r="V2" s="5"/>
      <c r="AA2" s="6"/>
    </row>
    <row r="3" spans="1:22" ht="33.75" customHeight="1">
      <c r="A3" s="848" t="s">
        <v>3</v>
      </c>
      <c r="B3" s="848"/>
      <c r="C3" s="7" t="s">
        <v>4</v>
      </c>
      <c r="D3" s="214" t="s">
        <v>4</v>
      </c>
      <c r="E3" s="214" t="s">
        <v>4</v>
      </c>
      <c r="F3" s="215" t="s">
        <v>4</v>
      </c>
      <c r="G3" s="10"/>
      <c r="H3" s="10"/>
      <c r="I3" s="10"/>
      <c r="J3" s="10"/>
      <c r="K3" s="7" t="s">
        <v>4</v>
      </c>
      <c r="L3" s="8"/>
      <c r="M3" s="9" t="s">
        <v>4</v>
      </c>
      <c r="P3" s="9" t="s">
        <v>4</v>
      </c>
      <c r="Q3" s="10"/>
      <c r="S3" s="3"/>
      <c r="T3" s="3"/>
      <c r="U3" s="4"/>
      <c r="V3" s="5"/>
    </row>
    <row r="4" spans="2:22" ht="13.5" customHeight="1">
      <c r="B4" s="849"/>
      <c r="C4" s="849"/>
      <c r="D4" s="849"/>
      <c r="E4" s="849"/>
      <c r="F4" s="849"/>
      <c r="N4" s="857" t="s">
        <v>88</v>
      </c>
      <c r="O4" s="857"/>
      <c r="P4" s="216"/>
      <c r="Q4" s="217"/>
      <c r="S4" s="3"/>
      <c r="T4" s="3"/>
      <c r="U4" s="4"/>
      <c r="V4" s="5"/>
    </row>
    <row r="5" spans="1:17" ht="11.25">
      <c r="A5" s="11" t="s">
        <v>5</v>
      </c>
      <c r="B5" s="11">
        <v>0.65</v>
      </c>
      <c r="C5" s="11">
        <v>2.4</v>
      </c>
      <c r="D5" s="11">
        <v>0.87</v>
      </c>
      <c r="E5" s="11">
        <v>4.22</v>
      </c>
      <c r="F5" s="11">
        <v>4.22</v>
      </c>
      <c r="G5" s="11">
        <v>1.5</v>
      </c>
      <c r="H5" s="11">
        <v>0.9</v>
      </c>
      <c r="I5" s="11">
        <v>1.4</v>
      </c>
      <c r="J5" s="11">
        <v>1.2</v>
      </c>
      <c r="K5" s="218">
        <v>1.64</v>
      </c>
      <c r="M5" s="12">
        <v>1.89</v>
      </c>
      <c r="N5" s="219">
        <v>0.85</v>
      </c>
      <c r="O5" s="219">
        <v>0.85</v>
      </c>
      <c r="P5" s="218">
        <v>1.89</v>
      </c>
      <c r="Q5" s="220"/>
    </row>
    <row r="6" spans="1:17" ht="45">
      <c r="A6" s="14" t="s">
        <v>6</v>
      </c>
      <c r="B6" s="11">
        <f>0.65+0.68</f>
        <v>1.33</v>
      </c>
      <c r="C6" s="11">
        <f>2.4+1.56</f>
        <v>3.96</v>
      </c>
      <c r="D6" s="11">
        <f>0.87+1.56</f>
        <v>2.43</v>
      </c>
      <c r="E6" s="11">
        <f>4.22+0.68</f>
        <v>4.8999999999999995</v>
      </c>
      <c r="F6" s="11">
        <f>4.22+0.68</f>
        <v>4.8999999999999995</v>
      </c>
      <c r="G6" s="11">
        <f>1.5+1.87</f>
        <v>3.37</v>
      </c>
      <c r="H6" s="11">
        <f>0.9+1.87</f>
        <v>2.77</v>
      </c>
      <c r="I6" s="11">
        <f>1.4+1.87</f>
        <v>3.27</v>
      </c>
      <c r="J6" s="11">
        <f>1.2+1.87</f>
        <v>3.0700000000000003</v>
      </c>
      <c r="K6" s="221">
        <f>1.64+1.56</f>
        <v>3.2</v>
      </c>
      <c r="M6" s="15">
        <f>1.89+0.26</f>
        <v>2.15</v>
      </c>
      <c r="N6" s="222">
        <f>N5+1.56</f>
        <v>2.41</v>
      </c>
      <c r="O6" s="222">
        <f>O5+1.56</f>
        <v>2.41</v>
      </c>
      <c r="P6" s="221">
        <f>1.89+1.56</f>
        <v>3.45</v>
      </c>
      <c r="Q6" s="223"/>
    </row>
    <row r="7" spans="1:23" ht="15">
      <c r="A7" s="17" t="s">
        <v>7</v>
      </c>
      <c r="C7" s="850" t="s">
        <v>89</v>
      </c>
      <c r="D7" s="850"/>
      <c r="E7" s="850"/>
      <c r="F7" s="850"/>
      <c r="G7" s="851" t="s">
        <v>90</v>
      </c>
      <c r="H7" s="851"/>
      <c r="I7" s="851"/>
      <c r="J7" s="851"/>
      <c r="K7" s="852" t="s">
        <v>88</v>
      </c>
      <c r="L7" s="852"/>
      <c r="M7" s="852"/>
      <c r="N7" s="224"/>
      <c r="O7" s="224"/>
      <c r="P7" s="224"/>
      <c r="Q7" s="323">
        <v>0.03</v>
      </c>
      <c r="W7" s="1" t="s">
        <v>11</v>
      </c>
    </row>
    <row r="8" spans="1:22" ht="11.25">
      <c r="A8" s="19"/>
      <c r="B8" s="20">
        <v>5</v>
      </c>
      <c r="C8" s="20">
        <v>10</v>
      </c>
      <c r="D8" s="20">
        <v>11</v>
      </c>
      <c r="E8" s="20">
        <v>12</v>
      </c>
      <c r="F8" s="20">
        <v>13</v>
      </c>
      <c r="G8" s="20">
        <v>14</v>
      </c>
      <c r="H8" s="20">
        <v>15</v>
      </c>
      <c r="I8" s="20">
        <v>16</v>
      </c>
      <c r="J8" s="20">
        <v>17</v>
      </c>
      <c r="K8" s="324">
        <v>18</v>
      </c>
      <c r="L8" s="325">
        <v>19</v>
      </c>
      <c r="M8" s="20">
        <v>20</v>
      </c>
      <c r="N8" s="20">
        <v>21</v>
      </c>
      <c r="O8" s="20">
        <v>22</v>
      </c>
      <c r="P8" s="20">
        <v>20</v>
      </c>
      <c r="Q8" s="20"/>
      <c r="R8" s="20">
        <v>23</v>
      </c>
      <c r="S8" s="22">
        <v>24</v>
      </c>
      <c r="T8" s="23" t="s">
        <v>12</v>
      </c>
      <c r="U8" s="24"/>
      <c r="V8" s="25">
        <v>24</v>
      </c>
    </row>
    <row r="9" spans="1:22" ht="44.25" customHeight="1">
      <c r="A9" s="26" t="s">
        <v>13</v>
      </c>
      <c r="B9" s="27" t="s">
        <v>14</v>
      </c>
      <c r="C9" s="28" t="s">
        <v>15</v>
      </c>
      <c r="D9" s="28" t="s">
        <v>16</v>
      </c>
      <c r="E9" s="27" t="s">
        <v>17</v>
      </c>
      <c r="F9" s="29" t="s">
        <v>18</v>
      </c>
      <c r="G9" s="326" t="s">
        <v>19</v>
      </c>
      <c r="H9" s="327" t="s">
        <v>20</v>
      </c>
      <c r="I9" s="327" t="s">
        <v>21</v>
      </c>
      <c r="J9" s="328" t="s">
        <v>22</v>
      </c>
      <c r="K9" s="329" t="s">
        <v>23</v>
      </c>
      <c r="L9" s="34" t="s">
        <v>24</v>
      </c>
      <c r="M9" s="330" t="s">
        <v>25</v>
      </c>
      <c r="N9" s="331" t="s">
        <v>26</v>
      </c>
      <c r="O9" s="332" t="s">
        <v>27</v>
      </c>
      <c r="P9" s="333" t="s">
        <v>149</v>
      </c>
      <c r="Q9" s="334" t="s">
        <v>92</v>
      </c>
      <c r="R9" s="335" t="s">
        <v>28</v>
      </c>
      <c r="S9" s="336" t="s">
        <v>29</v>
      </c>
      <c r="T9" s="337"/>
      <c r="U9" s="40" t="s">
        <v>31</v>
      </c>
      <c r="V9" s="338" t="s">
        <v>13</v>
      </c>
    </row>
    <row r="10" spans="1:24" ht="11.25" hidden="1">
      <c r="A10" s="42">
        <v>2020</v>
      </c>
      <c r="B10" s="43">
        <v>1102991</v>
      </c>
      <c r="C10" s="43">
        <f>30000</f>
        <v>30000</v>
      </c>
      <c r="D10" s="43">
        <v>0</v>
      </c>
      <c r="E10" s="43">
        <v>94500</v>
      </c>
      <c r="F10" s="44">
        <v>94500</v>
      </c>
      <c r="G10" s="339">
        <v>2000000</v>
      </c>
      <c r="H10" s="340"/>
      <c r="I10" s="340">
        <v>875000</v>
      </c>
      <c r="J10" s="341"/>
      <c r="K10" s="69"/>
      <c r="L10" s="48">
        <f aca="true" t="shared" si="0" ref="L10:L31">SUM(B10:K10)</f>
        <v>4196991</v>
      </c>
      <c r="M10" s="342"/>
      <c r="N10" s="343"/>
      <c r="O10" s="50"/>
      <c r="P10" s="344"/>
      <c r="Q10" s="345"/>
      <c r="R10" s="346">
        <f>SUM(M10:M10)</f>
        <v>0</v>
      </c>
      <c r="S10" s="347">
        <v>9068982</v>
      </c>
      <c r="T10" s="53"/>
      <c r="U10" s="54">
        <v>0</v>
      </c>
      <c r="V10" s="348">
        <v>2020</v>
      </c>
      <c r="W10" s="57" t="s">
        <v>32</v>
      </c>
      <c r="X10" s="6"/>
    </row>
    <row r="11" spans="1:23" ht="11.25" hidden="1">
      <c r="A11" s="58">
        <v>2021</v>
      </c>
      <c r="B11" s="59"/>
      <c r="C11" s="349"/>
      <c r="D11" s="349">
        <f>727000*2</f>
        <v>1454000</v>
      </c>
      <c r="E11" s="228">
        <f>126000+618000</f>
        <v>744000</v>
      </c>
      <c r="F11" s="229">
        <f>126000+653591</f>
        <v>779591</v>
      </c>
      <c r="G11" s="230">
        <f>1000000-1000000</f>
        <v>0</v>
      </c>
      <c r="H11" s="227"/>
      <c r="I11" s="227">
        <v>3375000</v>
      </c>
      <c r="J11" s="350"/>
      <c r="K11" s="351">
        <v>21000</v>
      </c>
      <c r="L11" s="48">
        <f t="shared" si="0"/>
        <v>6373591</v>
      </c>
      <c r="M11" s="342"/>
      <c r="N11" s="352"/>
      <c r="O11" s="66"/>
      <c r="P11" s="344"/>
      <c r="Q11" s="353"/>
      <c r="R11" s="354">
        <f>SUM(N11:P11)</f>
        <v>0</v>
      </c>
      <c r="S11" s="347">
        <f aca="true" t="shared" si="1" ref="S11:S36">L11+R11</f>
        <v>6373591</v>
      </c>
      <c r="T11" s="68"/>
      <c r="U11" s="69">
        <f>T11-S11</f>
        <v>-6373591</v>
      </c>
      <c r="V11" s="348">
        <v>2021</v>
      </c>
      <c r="W11" s="355" t="s">
        <v>34</v>
      </c>
    </row>
    <row r="12" spans="1:23" ht="11.25">
      <c r="A12" s="58">
        <v>2022</v>
      </c>
      <c r="B12" s="44"/>
      <c r="C12" s="356"/>
      <c r="D12" s="357"/>
      <c r="E12" s="57">
        <v>0</v>
      </c>
      <c r="F12" s="44">
        <v>0</v>
      </c>
      <c r="G12" s="43">
        <f>1000000+1000000</f>
        <v>2000000</v>
      </c>
      <c r="H12" s="43"/>
      <c r="I12" s="43"/>
      <c r="J12" s="44"/>
      <c r="K12" s="351">
        <v>15000</v>
      </c>
      <c r="L12" s="48">
        <f t="shared" si="0"/>
        <v>2015000</v>
      </c>
      <c r="M12" s="342"/>
      <c r="N12" s="358">
        <v>50000</v>
      </c>
      <c r="O12" s="233"/>
      <c r="P12" s="359"/>
      <c r="Q12" s="353"/>
      <c r="R12" s="354">
        <f aca="true" t="shared" si="2" ref="R12:R36">SUM(N12:Q12)</f>
        <v>50000</v>
      </c>
      <c r="S12" s="347">
        <f t="shared" si="1"/>
        <v>2065000</v>
      </c>
      <c r="T12" s="68"/>
      <c r="U12" s="69"/>
      <c r="V12" s="348">
        <v>2022</v>
      </c>
      <c r="W12" s="355"/>
    </row>
    <row r="13" spans="1:23" ht="11.25">
      <c r="A13" s="58">
        <v>2023</v>
      </c>
      <c r="B13" s="44"/>
      <c r="C13" s="45"/>
      <c r="D13" s="231">
        <f>2908759-1454000</f>
        <v>1454759</v>
      </c>
      <c r="E13" s="57"/>
      <c r="F13" s="44"/>
      <c r="G13" s="43">
        <v>2000000</v>
      </c>
      <c r="H13" s="43"/>
      <c r="I13" s="43"/>
      <c r="J13" s="44"/>
      <c r="K13" s="351">
        <v>25000</v>
      </c>
      <c r="L13" s="48">
        <f t="shared" si="0"/>
        <v>3479759</v>
      </c>
      <c r="M13" s="342"/>
      <c r="N13" s="358">
        <v>100000</v>
      </c>
      <c r="O13" s="233">
        <v>200000</v>
      </c>
      <c r="P13" s="359">
        <v>50000</v>
      </c>
      <c r="Q13" s="353"/>
      <c r="R13" s="354">
        <f t="shared" si="2"/>
        <v>350000</v>
      </c>
      <c r="S13" s="347">
        <f t="shared" si="1"/>
        <v>3829759</v>
      </c>
      <c r="T13" s="68"/>
      <c r="U13" s="69"/>
      <c r="V13" s="348">
        <v>2023</v>
      </c>
      <c r="W13" s="355"/>
    </row>
    <row r="14" spans="1:23" ht="11.25">
      <c r="A14" s="58">
        <v>2024</v>
      </c>
      <c r="B14" s="44"/>
      <c r="C14" s="45"/>
      <c r="D14" s="46"/>
      <c r="E14" s="57"/>
      <c r="F14" s="44"/>
      <c r="G14" s="45">
        <v>1500000</v>
      </c>
      <c r="H14" s="43">
        <v>2500000</v>
      </c>
      <c r="I14" s="43">
        <f>1875000</f>
        <v>1875000</v>
      </c>
      <c r="J14" s="44"/>
      <c r="K14" s="351">
        <v>65000</v>
      </c>
      <c r="L14" s="48">
        <f t="shared" si="0"/>
        <v>5940000</v>
      </c>
      <c r="M14" s="342"/>
      <c r="N14" s="358">
        <v>150000</v>
      </c>
      <c r="O14" s="233">
        <v>200000</v>
      </c>
      <c r="P14" s="359">
        <v>50000</v>
      </c>
      <c r="Q14" s="353">
        <v>50000</v>
      </c>
      <c r="R14" s="354">
        <f t="shared" si="2"/>
        <v>450000</v>
      </c>
      <c r="S14" s="347">
        <f t="shared" si="1"/>
        <v>6390000</v>
      </c>
      <c r="T14" s="68"/>
      <c r="U14" s="69"/>
      <c r="V14" s="348">
        <v>2024</v>
      </c>
      <c r="W14" s="355" t="s">
        <v>35</v>
      </c>
    </row>
    <row r="15" spans="1:23" ht="11.25">
      <c r="A15" s="58">
        <v>2025</v>
      </c>
      <c r="B15" s="44"/>
      <c r="C15" s="45"/>
      <c r="D15" s="46"/>
      <c r="E15" s="57"/>
      <c r="F15" s="44"/>
      <c r="G15" s="45"/>
      <c r="H15" s="43">
        <v>2500000</v>
      </c>
      <c r="I15" s="43">
        <f>1875000</f>
        <v>1875000</v>
      </c>
      <c r="J15" s="44"/>
      <c r="K15" s="351">
        <v>65000</v>
      </c>
      <c r="L15" s="48">
        <f t="shared" si="0"/>
        <v>4440000</v>
      </c>
      <c r="M15" s="342"/>
      <c r="N15" s="358">
        <v>150000</v>
      </c>
      <c r="O15" s="233">
        <v>200000</v>
      </c>
      <c r="P15" s="359">
        <v>100000</v>
      </c>
      <c r="Q15" s="353">
        <v>100000</v>
      </c>
      <c r="R15" s="354">
        <f t="shared" si="2"/>
        <v>550000</v>
      </c>
      <c r="S15" s="347">
        <f t="shared" si="1"/>
        <v>4990000</v>
      </c>
      <c r="T15" s="68"/>
      <c r="U15" s="69"/>
      <c r="V15" s="348">
        <v>2025</v>
      </c>
      <c r="W15" s="355" t="s">
        <v>36</v>
      </c>
    </row>
    <row r="16" spans="1:23" ht="11.25">
      <c r="A16" s="58">
        <v>2026</v>
      </c>
      <c r="B16" s="44"/>
      <c r="C16" s="45"/>
      <c r="D16" s="46"/>
      <c r="E16" s="57"/>
      <c r="F16" s="44"/>
      <c r="G16" s="45"/>
      <c r="H16" s="43">
        <v>2500000</v>
      </c>
      <c r="I16" s="43">
        <v>1875000</v>
      </c>
      <c r="J16" s="44"/>
      <c r="K16" s="351">
        <v>65000</v>
      </c>
      <c r="L16" s="48">
        <f t="shared" si="0"/>
        <v>4440000</v>
      </c>
      <c r="M16" s="342"/>
      <c r="N16" s="358">
        <v>200000</v>
      </c>
      <c r="O16" s="233">
        <v>200000</v>
      </c>
      <c r="P16" s="359">
        <v>100000</v>
      </c>
      <c r="Q16" s="353">
        <v>100000</v>
      </c>
      <c r="R16" s="354">
        <f t="shared" si="2"/>
        <v>600000</v>
      </c>
      <c r="S16" s="347">
        <f t="shared" si="1"/>
        <v>5040000</v>
      </c>
      <c r="T16" s="68"/>
      <c r="U16" s="69"/>
      <c r="V16" s="348">
        <v>2026</v>
      </c>
      <c r="W16" s="355" t="s">
        <v>37</v>
      </c>
    </row>
    <row r="17" spans="1:23" ht="11.25">
      <c r="A17" s="58">
        <v>2027</v>
      </c>
      <c r="B17" s="44"/>
      <c r="C17" s="45"/>
      <c r="D17" s="46"/>
      <c r="E17" s="57"/>
      <c r="F17" s="44"/>
      <c r="G17" s="45"/>
      <c r="H17" s="43">
        <v>2500000</v>
      </c>
      <c r="I17" s="43">
        <v>2000000</v>
      </c>
      <c r="J17" s="44">
        <v>1875000</v>
      </c>
      <c r="K17" s="351">
        <v>293000</v>
      </c>
      <c r="L17" s="48">
        <f t="shared" si="0"/>
        <v>6668000</v>
      </c>
      <c r="M17" s="342"/>
      <c r="N17" s="358">
        <v>200000</v>
      </c>
      <c r="O17" s="233">
        <v>200000</v>
      </c>
      <c r="P17" s="359">
        <v>100000</v>
      </c>
      <c r="Q17" s="353">
        <v>100000</v>
      </c>
      <c r="R17" s="354">
        <f t="shared" si="2"/>
        <v>600000</v>
      </c>
      <c r="S17" s="347">
        <f t="shared" si="1"/>
        <v>7268000</v>
      </c>
      <c r="T17" s="68"/>
      <c r="U17" s="69"/>
      <c r="V17" s="348">
        <v>2027</v>
      </c>
      <c r="W17" s="360" t="s">
        <v>38</v>
      </c>
    </row>
    <row r="18" spans="1:23" ht="11.25">
      <c r="A18" s="58">
        <v>2028</v>
      </c>
      <c r="B18" s="44"/>
      <c r="C18" s="45"/>
      <c r="D18" s="46"/>
      <c r="E18" s="57"/>
      <c r="F18" s="44"/>
      <c r="G18" s="45"/>
      <c r="H18" s="43"/>
      <c r="I18" s="43">
        <v>2000000</v>
      </c>
      <c r="J18" s="44">
        <v>5100000</v>
      </c>
      <c r="K18" s="351">
        <v>293000</v>
      </c>
      <c r="L18" s="48">
        <f t="shared" si="0"/>
        <v>7393000</v>
      </c>
      <c r="M18" s="342"/>
      <c r="N18" s="358">
        <v>350000</v>
      </c>
      <c r="O18" s="233">
        <v>500000</v>
      </c>
      <c r="P18" s="359">
        <v>200000</v>
      </c>
      <c r="Q18" s="353">
        <v>100000</v>
      </c>
      <c r="R18" s="354">
        <f t="shared" si="2"/>
        <v>1150000</v>
      </c>
      <c r="S18" s="347">
        <f t="shared" si="1"/>
        <v>8543000</v>
      </c>
      <c r="T18" s="68"/>
      <c r="U18" s="69"/>
      <c r="V18" s="348">
        <v>2028</v>
      </c>
      <c r="W18" s="360" t="s">
        <v>39</v>
      </c>
    </row>
    <row r="19" spans="1:23" ht="11.25">
      <c r="A19" s="58">
        <v>2029</v>
      </c>
      <c r="B19" s="44"/>
      <c r="C19" s="45"/>
      <c r="D19" s="46"/>
      <c r="E19" s="57"/>
      <c r="F19" s="44"/>
      <c r="G19" s="45"/>
      <c r="H19" s="43"/>
      <c r="I19" s="43">
        <v>1375000</v>
      </c>
      <c r="J19" s="44">
        <v>5100000</v>
      </c>
      <c r="K19" s="351">
        <v>652000</v>
      </c>
      <c r="L19" s="48">
        <f t="shared" si="0"/>
        <v>7127000</v>
      </c>
      <c r="M19" s="342"/>
      <c r="N19" s="358">
        <v>1000000</v>
      </c>
      <c r="O19" s="233">
        <v>500000</v>
      </c>
      <c r="P19" s="359">
        <v>200000</v>
      </c>
      <c r="Q19" s="353">
        <v>100000</v>
      </c>
      <c r="R19" s="354">
        <f t="shared" si="2"/>
        <v>1800000</v>
      </c>
      <c r="S19" s="347">
        <f t="shared" si="1"/>
        <v>8927000</v>
      </c>
      <c r="T19" s="68"/>
      <c r="U19" s="69"/>
      <c r="V19" s="348">
        <v>2029</v>
      </c>
      <c r="W19" s="360" t="s">
        <v>40</v>
      </c>
    </row>
    <row r="20" spans="1:23" ht="11.25">
      <c r="A20" s="58">
        <v>2030</v>
      </c>
      <c r="B20" s="44"/>
      <c r="C20" s="45"/>
      <c r="D20" s="46"/>
      <c r="E20" s="57"/>
      <c r="F20" s="44"/>
      <c r="G20" s="45"/>
      <c r="H20" s="43"/>
      <c r="I20" s="43">
        <v>1375000</v>
      </c>
      <c r="J20" s="44">
        <v>5323000</v>
      </c>
      <c r="K20" s="351">
        <v>652000</v>
      </c>
      <c r="L20" s="48">
        <f t="shared" si="0"/>
        <v>7350000</v>
      </c>
      <c r="M20" s="342"/>
      <c r="N20" s="358">
        <v>1000000</v>
      </c>
      <c r="O20" s="233">
        <v>500000</v>
      </c>
      <c r="P20" s="359">
        <v>200000</v>
      </c>
      <c r="Q20" s="353">
        <v>100000</v>
      </c>
      <c r="R20" s="354">
        <f t="shared" si="2"/>
        <v>1800000</v>
      </c>
      <c r="S20" s="347">
        <f t="shared" si="1"/>
        <v>9150000</v>
      </c>
      <c r="T20" s="68"/>
      <c r="U20" s="69"/>
      <c r="V20" s="348">
        <v>2030</v>
      </c>
      <c r="W20" s="360" t="s">
        <v>41</v>
      </c>
    </row>
    <row r="21" spans="1:22" ht="11.25">
      <c r="A21" s="58">
        <v>2031</v>
      </c>
      <c r="B21" s="44"/>
      <c r="C21" s="45"/>
      <c r="D21" s="46"/>
      <c r="E21" s="57"/>
      <c r="F21" s="44"/>
      <c r="G21" s="45"/>
      <c r="H21" s="43"/>
      <c r="I21" s="43">
        <v>0</v>
      </c>
      <c r="J21" s="44">
        <v>5700000</v>
      </c>
      <c r="K21" s="351">
        <v>652000</v>
      </c>
      <c r="L21" s="48">
        <f t="shared" si="0"/>
        <v>6352000</v>
      </c>
      <c r="M21" s="342"/>
      <c r="N21" s="358">
        <v>1000000</v>
      </c>
      <c r="O21" s="233">
        <v>500000</v>
      </c>
      <c r="P21" s="359">
        <v>500000</v>
      </c>
      <c r="Q21" s="353">
        <v>100000</v>
      </c>
      <c r="R21" s="354">
        <f t="shared" si="2"/>
        <v>2100000</v>
      </c>
      <c r="S21" s="347">
        <f t="shared" si="1"/>
        <v>8452000</v>
      </c>
      <c r="T21" s="68"/>
      <c r="U21" s="69"/>
      <c r="V21" s="348">
        <v>2031</v>
      </c>
    </row>
    <row r="22" spans="1:22" ht="11.25">
      <c r="A22" s="58">
        <v>2032</v>
      </c>
      <c r="B22" s="44"/>
      <c r="C22" s="45"/>
      <c r="D22" s="46"/>
      <c r="E22" s="57"/>
      <c r="F22" s="44"/>
      <c r="G22" s="45"/>
      <c r="H22" s="43"/>
      <c r="I22" s="43"/>
      <c r="J22" s="44">
        <v>1941000</v>
      </c>
      <c r="K22" s="351">
        <v>1695000</v>
      </c>
      <c r="L22" s="48">
        <f t="shared" si="0"/>
        <v>3636000</v>
      </c>
      <c r="M22" s="342"/>
      <c r="N22" s="358">
        <v>2000000</v>
      </c>
      <c r="O22" s="233">
        <v>500000</v>
      </c>
      <c r="P22" s="359">
        <v>500000</v>
      </c>
      <c r="Q22" s="353">
        <v>100000</v>
      </c>
      <c r="R22" s="354">
        <f t="shared" si="2"/>
        <v>3100000</v>
      </c>
      <c r="S22" s="347">
        <f t="shared" si="1"/>
        <v>6736000</v>
      </c>
      <c r="T22" s="68"/>
      <c r="U22" s="69"/>
      <c r="V22" s="348">
        <v>2032</v>
      </c>
    </row>
    <row r="23" spans="1:22" ht="11.25">
      <c r="A23" s="58">
        <v>2033</v>
      </c>
      <c r="B23" s="44"/>
      <c r="C23" s="45"/>
      <c r="D23" s="46"/>
      <c r="E23" s="57"/>
      <c r="F23" s="44"/>
      <c r="G23" s="45"/>
      <c r="H23" s="43"/>
      <c r="I23" s="43">
        <v>0</v>
      </c>
      <c r="J23" s="44"/>
      <c r="K23" s="351">
        <v>1695000</v>
      </c>
      <c r="L23" s="48">
        <f t="shared" si="0"/>
        <v>1695000</v>
      </c>
      <c r="M23" s="342"/>
      <c r="N23" s="358">
        <v>2000000</v>
      </c>
      <c r="O23" s="233">
        <v>500000</v>
      </c>
      <c r="P23" s="359">
        <v>1500000</v>
      </c>
      <c r="Q23" s="353">
        <v>400000</v>
      </c>
      <c r="R23" s="354">
        <f t="shared" si="2"/>
        <v>4400000</v>
      </c>
      <c r="S23" s="347">
        <f t="shared" si="1"/>
        <v>6095000</v>
      </c>
      <c r="T23" s="68"/>
      <c r="U23" s="69"/>
      <c r="V23" s="348">
        <v>2033</v>
      </c>
    </row>
    <row r="24" spans="1:22" ht="11.25">
      <c r="A24" s="58">
        <v>2034</v>
      </c>
      <c r="B24" s="44"/>
      <c r="C24" s="45"/>
      <c r="D24" s="46"/>
      <c r="E24" s="57"/>
      <c r="F24" s="44"/>
      <c r="G24" s="45"/>
      <c r="H24" s="43"/>
      <c r="I24" s="43">
        <v>0</v>
      </c>
      <c r="J24" s="44"/>
      <c r="K24" s="351">
        <v>1695000</v>
      </c>
      <c r="L24" s="48">
        <f t="shared" si="0"/>
        <v>1695000</v>
      </c>
      <c r="M24" s="342"/>
      <c r="N24" s="358">
        <v>2000000</v>
      </c>
      <c r="O24" s="233">
        <v>500000</v>
      </c>
      <c r="P24" s="359">
        <v>1500000</v>
      </c>
      <c r="Q24" s="353">
        <v>500000</v>
      </c>
      <c r="R24" s="354">
        <f t="shared" si="2"/>
        <v>4500000</v>
      </c>
      <c r="S24" s="347">
        <f t="shared" si="1"/>
        <v>6195000</v>
      </c>
      <c r="T24" s="68"/>
      <c r="U24" s="69"/>
      <c r="V24" s="348">
        <v>2034</v>
      </c>
    </row>
    <row r="25" spans="1:22" ht="11.25">
      <c r="A25" s="58">
        <v>2035</v>
      </c>
      <c r="B25" s="44"/>
      <c r="C25" s="45"/>
      <c r="D25" s="46"/>
      <c r="E25" s="57"/>
      <c r="F25" s="44"/>
      <c r="G25" s="45"/>
      <c r="H25" s="43"/>
      <c r="I25" s="43">
        <v>0</v>
      </c>
      <c r="J25" s="44"/>
      <c r="K25" s="351">
        <v>1695000</v>
      </c>
      <c r="L25" s="48">
        <f t="shared" si="0"/>
        <v>1695000</v>
      </c>
      <c r="M25" s="342"/>
      <c r="N25" s="358">
        <v>1000000</v>
      </c>
      <c r="O25" s="233">
        <v>500000</v>
      </c>
      <c r="P25" s="359">
        <v>1500000</v>
      </c>
      <c r="Q25" s="353">
        <v>1250000</v>
      </c>
      <c r="R25" s="354">
        <f t="shared" si="2"/>
        <v>4250000</v>
      </c>
      <c r="S25" s="347">
        <f t="shared" si="1"/>
        <v>5945000</v>
      </c>
      <c r="T25" s="68"/>
      <c r="U25" s="69"/>
      <c r="V25" s="348">
        <v>2035</v>
      </c>
    </row>
    <row r="26" spans="1:22" ht="11.25">
      <c r="A26" s="58">
        <v>2036</v>
      </c>
      <c r="B26" s="44"/>
      <c r="C26" s="45"/>
      <c r="D26" s="46"/>
      <c r="E26" s="57"/>
      <c r="F26" s="44"/>
      <c r="G26" s="45"/>
      <c r="H26" s="43"/>
      <c r="I26" s="43">
        <v>0</v>
      </c>
      <c r="J26" s="44"/>
      <c r="K26" s="351">
        <v>1695000</v>
      </c>
      <c r="L26" s="48">
        <f t="shared" si="0"/>
        <v>1695000</v>
      </c>
      <c r="M26" s="342"/>
      <c r="N26" s="358">
        <v>1000000</v>
      </c>
      <c r="O26" s="233">
        <v>500000</v>
      </c>
      <c r="P26" s="359">
        <v>1500000</v>
      </c>
      <c r="Q26" s="353">
        <v>1500000</v>
      </c>
      <c r="R26" s="354">
        <f t="shared" si="2"/>
        <v>4500000</v>
      </c>
      <c r="S26" s="347">
        <f t="shared" si="1"/>
        <v>6195000</v>
      </c>
      <c r="T26" s="68"/>
      <c r="U26" s="69"/>
      <c r="V26" s="348">
        <v>2036</v>
      </c>
    </row>
    <row r="27" spans="1:25" ht="11.25">
      <c r="A27" s="58">
        <v>2037</v>
      </c>
      <c r="B27" s="44"/>
      <c r="C27" s="45"/>
      <c r="D27" s="46"/>
      <c r="E27" s="57"/>
      <c r="F27" s="44"/>
      <c r="G27" s="45"/>
      <c r="H27" s="43"/>
      <c r="I27" s="43">
        <v>0</v>
      </c>
      <c r="J27" s="44"/>
      <c r="K27" s="351">
        <v>770000</v>
      </c>
      <c r="L27" s="48">
        <f t="shared" si="0"/>
        <v>770000</v>
      </c>
      <c r="M27" s="342"/>
      <c r="N27" s="358">
        <v>1000000</v>
      </c>
      <c r="O27" s="233">
        <v>500000</v>
      </c>
      <c r="P27" s="359">
        <v>1500000</v>
      </c>
      <c r="Q27" s="353">
        <v>1500000</v>
      </c>
      <c r="R27" s="354">
        <f t="shared" si="2"/>
        <v>4500000</v>
      </c>
      <c r="S27" s="347">
        <f t="shared" si="1"/>
        <v>5270000</v>
      </c>
      <c r="T27" s="68"/>
      <c r="U27" s="69"/>
      <c r="V27" s="348">
        <v>2037</v>
      </c>
      <c r="Y27" s="5"/>
    </row>
    <row r="28" spans="1:25" ht="11.25">
      <c r="A28" s="58">
        <v>2038</v>
      </c>
      <c r="B28" s="44"/>
      <c r="C28" s="45"/>
      <c r="D28" s="46"/>
      <c r="E28" s="57"/>
      <c r="F28" s="44"/>
      <c r="G28" s="45"/>
      <c r="H28" s="43"/>
      <c r="I28" s="43">
        <v>0</v>
      </c>
      <c r="J28" s="44"/>
      <c r="K28" s="351">
        <v>770000</v>
      </c>
      <c r="L28" s="48">
        <f t="shared" si="0"/>
        <v>770000</v>
      </c>
      <c r="M28" s="342"/>
      <c r="N28" s="358">
        <v>1000000</v>
      </c>
      <c r="O28" s="233">
        <v>1000000</v>
      </c>
      <c r="P28" s="359">
        <v>1500000</v>
      </c>
      <c r="Q28" s="353">
        <v>1500000</v>
      </c>
      <c r="R28" s="354">
        <f t="shared" si="2"/>
        <v>5000000</v>
      </c>
      <c r="S28" s="347">
        <f t="shared" si="1"/>
        <v>5770000</v>
      </c>
      <c r="T28" s="68"/>
      <c r="U28" s="69"/>
      <c r="V28" s="348">
        <v>2038</v>
      </c>
      <c r="Y28" s="5"/>
    </row>
    <row r="29" spans="1:25" ht="11.25">
      <c r="A29" s="58">
        <v>2039</v>
      </c>
      <c r="B29" s="44"/>
      <c r="C29" s="45"/>
      <c r="D29" s="46"/>
      <c r="E29" s="57"/>
      <c r="F29" s="44"/>
      <c r="G29" s="45"/>
      <c r="H29" s="43"/>
      <c r="I29" s="43">
        <v>0</v>
      </c>
      <c r="J29" s="44"/>
      <c r="K29" s="351">
        <v>770000</v>
      </c>
      <c r="L29" s="48">
        <f t="shared" si="0"/>
        <v>770000</v>
      </c>
      <c r="M29" s="342"/>
      <c r="N29" s="358">
        <v>1000000</v>
      </c>
      <c r="O29" s="233">
        <v>1000000</v>
      </c>
      <c r="P29" s="359">
        <v>1500000</v>
      </c>
      <c r="Q29" s="353">
        <v>1500000</v>
      </c>
      <c r="R29" s="354">
        <f t="shared" si="2"/>
        <v>5000000</v>
      </c>
      <c r="S29" s="347">
        <f t="shared" si="1"/>
        <v>5770000</v>
      </c>
      <c r="T29" s="68"/>
      <c r="U29" s="69"/>
      <c r="V29" s="348">
        <v>2039</v>
      </c>
      <c r="Y29" s="5"/>
    </row>
    <row r="30" spans="1:22" ht="11.25">
      <c r="A30" s="58">
        <v>2040</v>
      </c>
      <c r="B30" s="44"/>
      <c r="C30" s="45"/>
      <c r="D30" s="46"/>
      <c r="E30" s="57"/>
      <c r="F30" s="44"/>
      <c r="G30" s="45"/>
      <c r="H30" s="43"/>
      <c r="I30" s="43">
        <v>0</v>
      </c>
      <c r="J30" s="44"/>
      <c r="K30" s="351">
        <v>770000</v>
      </c>
      <c r="L30" s="48">
        <f t="shared" si="0"/>
        <v>770000</v>
      </c>
      <c r="M30" s="342"/>
      <c r="N30" s="358">
        <v>1000000</v>
      </c>
      <c r="O30" s="233">
        <v>1000000</v>
      </c>
      <c r="P30" s="359">
        <v>1500000</v>
      </c>
      <c r="Q30" s="353">
        <v>1500000</v>
      </c>
      <c r="R30" s="354">
        <f t="shared" si="2"/>
        <v>5000000</v>
      </c>
      <c r="S30" s="347">
        <f t="shared" si="1"/>
        <v>5770000</v>
      </c>
      <c r="T30" s="68"/>
      <c r="U30" s="69"/>
      <c r="V30" s="348">
        <v>2040</v>
      </c>
    </row>
    <row r="31" spans="1:22" ht="11.25">
      <c r="A31" s="58">
        <v>2041</v>
      </c>
      <c r="B31" s="76"/>
      <c r="C31" s="45"/>
      <c r="D31" s="46"/>
      <c r="E31" s="361"/>
      <c r="F31" s="76"/>
      <c r="G31" s="45"/>
      <c r="H31" s="43"/>
      <c r="I31" s="43"/>
      <c r="J31" s="44"/>
      <c r="K31" s="351">
        <v>647000</v>
      </c>
      <c r="L31" s="48">
        <f t="shared" si="0"/>
        <v>647000</v>
      </c>
      <c r="M31" s="362"/>
      <c r="N31" s="363">
        <f>1100000-306493.82-50000-43506.18</f>
        <v>699999.9999999999</v>
      </c>
      <c r="O31" s="364">
        <v>1000000</v>
      </c>
      <c r="P31" s="359">
        <v>1500000</v>
      </c>
      <c r="Q31" s="365">
        <v>1500000</v>
      </c>
      <c r="R31" s="354">
        <f t="shared" si="2"/>
        <v>4700000</v>
      </c>
      <c r="S31" s="366">
        <f t="shared" si="1"/>
        <v>5347000</v>
      </c>
      <c r="T31" s="51"/>
      <c r="U31" s="69"/>
      <c r="V31" s="348">
        <v>2041</v>
      </c>
    </row>
    <row r="32" spans="1:22" ht="11.25">
      <c r="A32" s="58">
        <v>2042</v>
      </c>
      <c r="B32" s="367"/>
      <c r="C32" s="45"/>
      <c r="D32" s="46"/>
      <c r="E32" s="367"/>
      <c r="F32" s="367"/>
      <c r="G32" s="45"/>
      <c r="H32" s="43"/>
      <c r="I32" s="43"/>
      <c r="J32" s="44"/>
      <c r="K32" s="351"/>
      <c r="L32" s="48"/>
      <c r="M32" s="368"/>
      <c r="N32" s="363"/>
      <c r="O32" s="364"/>
      <c r="P32" s="359"/>
      <c r="Q32" s="365">
        <v>2000000</v>
      </c>
      <c r="R32" s="354">
        <f t="shared" si="2"/>
        <v>2000000</v>
      </c>
      <c r="S32" s="366">
        <f t="shared" si="1"/>
        <v>2000000</v>
      </c>
      <c r="T32" s="51"/>
      <c r="U32" s="69"/>
      <c r="V32" s="348">
        <v>2042</v>
      </c>
    </row>
    <row r="33" spans="1:22" ht="11.25">
      <c r="A33" s="58">
        <v>2043</v>
      </c>
      <c r="B33" s="367"/>
      <c r="C33" s="45"/>
      <c r="D33" s="46"/>
      <c r="E33" s="367"/>
      <c r="F33" s="367"/>
      <c r="G33" s="45"/>
      <c r="H33" s="43"/>
      <c r="I33" s="43"/>
      <c r="J33" s="44"/>
      <c r="K33" s="351"/>
      <c r="L33" s="48"/>
      <c r="M33" s="368"/>
      <c r="N33" s="363"/>
      <c r="O33" s="364"/>
      <c r="P33" s="359"/>
      <c r="Q33" s="365">
        <v>2000000</v>
      </c>
      <c r="R33" s="354">
        <f t="shared" si="2"/>
        <v>2000000</v>
      </c>
      <c r="S33" s="366">
        <f t="shared" si="1"/>
        <v>2000000</v>
      </c>
      <c r="T33" s="51"/>
      <c r="U33" s="69"/>
      <c r="V33" s="348">
        <v>2043</v>
      </c>
    </row>
    <row r="34" spans="1:22" ht="11.25">
      <c r="A34" s="58">
        <v>2044</v>
      </c>
      <c r="B34" s="367"/>
      <c r="C34" s="45"/>
      <c r="D34" s="46"/>
      <c r="E34" s="367"/>
      <c r="F34" s="367"/>
      <c r="G34" s="45"/>
      <c r="H34" s="43"/>
      <c r="I34" s="43"/>
      <c r="J34" s="44"/>
      <c r="K34" s="351"/>
      <c r="L34" s="48"/>
      <c r="M34" s="368"/>
      <c r="N34" s="363"/>
      <c r="O34" s="364"/>
      <c r="P34" s="359"/>
      <c r="Q34" s="365">
        <v>2000000</v>
      </c>
      <c r="R34" s="354">
        <f t="shared" si="2"/>
        <v>2000000</v>
      </c>
      <c r="S34" s="366">
        <f t="shared" si="1"/>
        <v>2000000</v>
      </c>
      <c r="T34" s="51"/>
      <c r="U34" s="69"/>
      <c r="V34" s="348">
        <v>2044</v>
      </c>
    </row>
    <row r="35" spans="1:22" ht="11.25">
      <c r="A35" s="58">
        <v>2045</v>
      </c>
      <c r="B35" s="367"/>
      <c r="C35" s="369"/>
      <c r="D35" s="370"/>
      <c r="E35" s="367"/>
      <c r="F35" s="367"/>
      <c r="G35" s="369"/>
      <c r="H35" s="371"/>
      <c r="I35" s="371"/>
      <c r="J35" s="372"/>
      <c r="K35" s="373"/>
      <c r="L35" s="374"/>
      <c r="M35" s="368"/>
      <c r="N35" s="375"/>
      <c r="O35" s="376"/>
      <c r="P35" s="377"/>
      <c r="Q35" s="378">
        <v>2000000</v>
      </c>
      <c r="R35" s="379">
        <f t="shared" si="2"/>
        <v>2000000</v>
      </c>
      <c r="S35" s="366">
        <f t="shared" si="1"/>
        <v>2000000</v>
      </c>
      <c r="T35" s="51"/>
      <c r="U35" s="380"/>
      <c r="V35" s="348">
        <v>2045</v>
      </c>
    </row>
    <row r="36" spans="1:25" ht="11.25">
      <c r="A36" s="84" t="s">
        <v>42</v>
      </c>
      <c r="B36" s="85">
        <f>SUM(B11:B24)</f>
        <v>0</v>
      </c>
      <c r="C36" s="89">
        <f aca="true" t="shared" si="3" ref="C36:L36">SUM(C12:C31)</f>
        <v>0</v>
      </c>
      <c r="D36" s="381">
        <f t="shared" si="3"/>
        <v>1454759</v>
      </c>
      <c r="E36" s="86">
        <f t="shared" si="3"/>
        <v>0</v>
      </c>
      <c r="F36" s="86">
        <f t="shared" si="3"/>
        <v>0</v>
      </c>
      <c r="G36" s="382">
        <f t="shared" si="3"/>
        <v>5500000</v>
      </c>
      <c r="H36" s="382">
        <f t="shared" si="3"/>
        <v>10000000</v>
      </c>
      <c r="I36" s="382">
        <f t="shared" si="3"/>
        <v>12375000</v>
      </c>
      <c r="J36" s="382">
        <f t="shared" si="3"/>
        <v>25039000</v>
      </c>
      <c r="K36" s="85">
        <f t="shared" si="3"/>
        <v>14979000</v>
      </c>
      <c r="L36" s="383">
        <f t="shared" si="3"/>
        <v>69347759</v>
      </c>
      <c r="M36" s="85">
        <f>SUM(M10:M31)</f>
        <v>0</v>
      </c>
      <c r="N36" s="384">
        <f>SUM(N10:N31)</f>
        <v>16900000</v>
      </c>
      <c r="O36" s="384">
        <f>SUM(O10:O31)</f>
        <v>10000000</v>
      </c>
      <c r="P36" s="384">
        <f>SUM(P10:P31)</f>
        <v>15500000</v>
      </c>
      <c r="Q36" s="384">
        <f>SUM(Q12:Q35)</f>
        <v>20000000</v>
      </c>
      <c r="R36" s="146">
        <f t="shared" si="2"/>
        <v>62400000</v>
      </c>
      <c r="S36" s="92">
        <f t="shared" si="1"/>
        <v>131747759</v>
      </c>
      <c r="T36" s="92"/>
      <c r="U36" s="385"/>
      <c r="V36" s="386" t="s">
        <v>42</v>
      </c>
      <c r="Y36" s="94"/>
    </row>
    <row r="37" spans="1:17" ht="11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24" ht="11.25">
      <c r="A38" s="2"/>
      <c r="B38" s="236"/>
      <c r="C38" s="237" t="s">
        <v>43</v>
      </c>
      <c r="D38" s="237"/>
      <c r="E38" s="237"/>
      <c r="F38" s="238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S38" s="239"/>
      <c r="T38" s="239"/>
      <c r="U38" s="239"/>
      <c r="V38" s="239"/>
      <c r="W38" s="240"/>
      <c r="X38" s="3"/>
    </row>
    <row r="39" spans="1:23" ht="45">
      <c r="A39" s="105" t="s">
        <v>48</v>
      </c>
      <c r="B39" s="241" t="str">
        <f>B9</f>
        <v>Oleśnica/12</v>
      </c>
      <c r="C39" s="241" t="s">
        <v>15</v>
      </c>
      <c r="D39" s="241" t="str">
        <f>D9</f>
        <v>Oleśnica /13</v>
      </c>
      <c r="E39" s="242" t="str">
        <f>E9</f>
        <v>Żmigród- 155/14</v>
      </c>
      <c r="F39" s="242" t="str">
        <f>F9</f>
        <v>Zmigród-156/14</v>
      </c>
      <c r="G39" s="108" t="str">
        <f>G9</f>
        <v>Getin /15</v>
      </c>
      <c r="H39" s="108" t="s">
        <v>49</v>
      </c>
      <c r="I39" s="108" t="s">
        <v>50</v>
      </c>
      <c r="J39" s="108" t="s">
        <v>51</v>
      </c>
      <c r="K39" s="387" t="s">
        <v>52</v>
      </c>
      <c r="L39" s="34" t="s">
        <v>53</v>
      </c>
      <c r="M39" s="388" t="s">
        <v>25</v>
      </c>
      <c r="N39" s="112" t="s">
        <v>26</v>
      </c>
      <c r="O39" s="112" t="s">
        <v>27</v>
      </c>
      <c r="P39" s="389" t="s">
        <v>94</v>
      </c>
      <c r="Q39" s="390" t="s">
        <v>92</v>
      </c>
      <c r="R39" s="391" t="s">
        <v>95</v>
      </c>
      <c r="S39" s="194" t="s">
        <v>79</v>
      </c>
      <c r="T39" s="195"/>
      <c r="U39" s="194" t="s">
        <v>150</v>
      </c>
      <c r="V39" s="196" t="s">
        <v>97</v>
      </c>
      <c r="W39"/>
    </row>
    <row r="40" spans="1:23" ht="12.75" hidden="1">
      <c r="A40" s="58">
        <v>2020</v>
      </c>
      <c r="B40" s="121">
        <v>20294.43</v>
      </c>
      <c r="C40" s="121">
        <v>33341.9</v>
      </c>
      <c r="D40" s="121">
        <v>59901.31</v>
      </c>
      <c r="E40" s="121">
        <v>45280.38</v>
      </c>
      <c r="F40" s="121">
        <v>47202.35</v>
      </c>
      <c r="G40" s="121">
        <v>205875</v>
      </c>
      <c r="H40" s="121">
        <v>213630</v>
      </c>
      <c r="I40" s="121">
        <v>419052.8</v>
      </c>
      <c r="J40" s="121">
        <v>635990.6</v>
      </c>
      <c r="K40" s="392"/>
      <c r="L40" s="393">
        <f aca="true" t="shared" si="4" ref="L40:L61">SUM(B40:K40)</f>
        <v>1680568.77</v>
      </c>
      <c r="M40" s="394"/>
      <c r="N40" s="199"/>
      <c r="O40" s="199"/>
      <c r="P40" s="244"/>
      <c r="Q40" s="395"/>
      <c r="R40" s="396"/>
      <c r="S40" s="198"/>
      <c r="T40" s="198"/>
      <c r="U40" s="198"/>
      <c r="V40" s="198"/>
      <c r="W40" s="200"/>
    </row>
    <row r="41" spans="1:23" ht="11.25" hidden="1">
      <c r="A41" s="58">
        <f aca="true" t="shared" si="5" ref="A41:A47">A11</f>
        <v>2021</v>
      </c>
      <c r="B41" s="133"/>
      <c r="C41" s="133">
        <v>27720</v>
      </c>
      <c r="D41" s="228">
        <v>45085.76</v>
      </c>
      <c r="E41" s="133">
        <v>36456</v>
      </c>
      <c r="F41" s="133">
        <v>38199.96</v>
      </c>
      <c r="G41" s="133">
        <v>164250</v>
      </c>
      <c r="H41" s="133">
        <v>159000</v>
      </c>
      <c r="I41" s="133">
        <v>258637.5</v>
      </c>
      <c r="J41" s="133">
        <v>473237.1</v>
      </c>
      <c r="K41" s="392">
        <v>285682.62</v>
      </c>
      <c r="L41" s="393">
        <f t="shared" si="4"/>
        <v>1488268.94</v>
      </c>
      <c r="M41" s="394"/>
      <c r="N41" s="60">
        <v>15214.630136986301</v>
      </c>
      <c r="O41" s="60"/>
      <c r="P41" s="245"/>
      <c r="Q41" s="397"/>
      <c r="R41" s="398">
        <f>P41+N41+O41</f>
        <v>15214.630136986301</v>
      </c>
      <c r="S41" s="202">
        <f aca="true" t="shared" si="6" ref="S41:S66">L41+R41</f>
        <v>1503483.5701369862</v>
      </c>
      <c r="T41" s="203"/>
      <c r="U41" s="204">
        <v>2050000</v>
      </c>
      <c r="V41" s="205"/>
      <c r="W41" s="58">
        <v>2021</v>
      </c>
    </row>
    <row r="42" spans="1:23" ht="11.25">
      <c r="A42" s="58">
        <f t="shared" si="5"/>
        <v>2022</v>
      </c>
      <c r="B42" s="133"/>
      <c r="C42" s="133"/>
      <c r="D42" s="228">
        <v>35357</v>
      </c>
      <c r="E42" s="133"/>
      <c r="F42" s="133"/>
      <c r="G42" s="133">
        <v>185350</v>
      </c>
      <c r="H42" s="133">
        <v>277000</v>
      </c>
      <c r="I42" s="133">
        <v>404662</v>
      </c>
      <c r="J42" s="133">
        <v>768697</v>
      </c>
      <c r="K42" s="392">
        <f>'bgk 15 mln'!N18</f>
        <v>0</v>
      </c>
      <c r="L42" s="393">
        <f t="shared" si="4"/>
        <v>1671066</v>
      </c>
      <c r="M42" s="394"/>
      <c r="N42" s="246">
        <v>406375.52</v>
      </c>
      <c r="O42" s="246">
        <v>40276.71</v>
      </c>
      <c r="P42" s="399">
        <f>'2022 - 18 mln'!N18</f>
        <v>0</v>
      </c>
      <c r="Q42" s="397"/>
      <c r="R42" s="400">
        <f aca="true" t="shared" si="7" ref="R42:R66">P42+N42+O42+Q42</f>
        <v>446652.23000000004</v>
      </c>
      <c r="S42" s="401">
        <f t="shared" si="6"/>
        <v>2117718.23</v>
      </c>
      <c r="T42" s="203"/>
      <c r="U42" s="204">
        <v>2550000</v>
      </c>
      <c r="V42" s="205">
        <f aca="true" t="shared" si="8" ref="V42:V65">U42-S42</f>
        <v>432281.77</v>
      </c>
      <c r="W42" s="58">
        <v>2022</v>
      </c>
    </row>
    <row r="43" spans="1:23" ht="11.25">
      <c r="A43" s="58">
        <f t="shared" si="5"/>
        <v>2023</v>
      </c>
      <c r="B43" s="133"/>
      <c r="C43" s="136"/>
      <c r="D43" s="228">
        <v>35357</v>
      </c>
      <c r="E43" s="133"/>
      <c r="F43" s="133"/>
      <c r="G43" s="133">
        <v>117950</v>
      </c>
      <c r="H43" s="133">
        <v>277000</v>
      </c>
      <c r="I43" s="133">
        <v>404662</v>
      </c>
      <c r="J43" s="133">
        <v>768697</v>
      </c>
      <c r="K43" s="392">
        <f>'bgk 15 mln'!N19</f>
        <v>972484.4542465755</v>
      </c>
      <c r="L43" s="393">
        <f t="shared" si="4"/>
        <v>2576150.4542465755</v>
      </c>
      <c r="M43" s="394"/>
      <c r="N43" s="246">
        <v>404256.04</v>
      </c>
      <c r="O43" s="246">
        <v>237342.08</v>
      </c>
      <c r="P43" s="399">
        <f>'2022 - 18 mln'!N19</f>
        <v>1268921.367671233</v>
      </c>
      <c r="Q43" s="397" t="e">
        <f>#REF!</f>
        <v>#REF!</v>
      </c>
      <c r="R43" s="400" t="e">
        <f t="shared" si="7"/>
        <v>#REF!</v>
      </c>
      <c r="S43" s="401" t="e">
        <f t="shared" si="6"/>
        <v>#REF!</v>
      </c>
      <c r="T43" s="203"/>
      <c r="U43" s="204">
        <v>3200000</v>
      </c>
      <c r="V43" s="205" t="e">
        <f t="shared" si="8"/>
        <v>#REF!</v>
      </c>
      <c r="W43" s="58">
        <v>2023</v>
      </c>
    </row>
    <row r="44" spans="1:23" ht="11.25">
      <c r="A44" s="58">
        <f t="shared" si="5"/>
        <v>2024</v>
      </c>
      <c r="B44" s="133"/>
      <c r="C44" s="133"/>
      <c r="D44" s="133"/>
      <c r="E44" s="133"/>
      <c r="F44" s="133"/>
      <c r="G44" s="133">
        <v>98550</v>
      </c>
      <c r="H44" s="133">
        <v>271118</v>
      </c>
      <c r="I44" s="133">
        <v>343350</v>
      </c>
      <c r="J44" s="133">
        <v>768697</v>
      </c>
      <c r="K44" s="392">
        <f>'bgk 15 mln'!N20</f>
        <v>937998.0684931508</v>
      </c>
      <c r="L44" s="393">
        <f t="shared" si="4"/>
        <v>2419713.0684931506</v>
      </c>
      <c r="M44" s="394"/>
      <c r="N44" s="246">
        <v>400939.06</v>
      </c>
      <c r="O44" s="246">
        <v>232532.08</v>
      </c>
      <c r="P44" s="399">
        <f>'2022 - 18 mln'!N20</f>
        <v>1068494.3150684931</v>
      </c>
      <c r="Q44" s="397" t="e">
        <f>#REF!</f>
        <v>#REF!</v>
      </c>
      <c r="R44" s="400" t="e">
        <f t="shared" si="7"/>
        <v>#REF!</v>
      </c>
      <c r="S44" s="401" t="e">
        <f t="shared" si="6"/>
        <v>#REF!</v>
      </c>
      <c r="T44" s="203"/>
      <c r="U44" s="204">
        <v>3700000</v>
      </c>
      <c r="V44" s="205" t="e">
        <f t="shared" si="8"/>
        <v>#REF!</v>
      </c>
      <c r="W44" s="58">
        <v>2024</v>
      </c>
    </row>
    <row r="45" spans="1:23" ht="11.25">
      <c r="A45" s="58">
        <f t="shared" si="5"/>
        <v>2025</v>
      </c>
      <c r="B45" s="133"/>
      <c r="C45" s="133"/>
      <c r="D45" s="133"/>
      <c r="E45" s="133"/>
      <c r="F45" s="133"/>
      <c r="G45" s="133"/>
      <c r="H45" s="133">
        <v>201868</v>
      </c>
      <c r="I45" s="133">
        <v>282037</v>
      </c>
      <c r="J45" s="133">
        <v>768697</v>
      </c>
      <c r="K45" s="392">
        <f>'bgk 15 mln'!N21</f>
        <v>384868.40876712336</v>
      </c>
      <c r="L45" s="393">
        <f t="shared" si="4"/>
        <v>1637470.4087671232</v>
      </c>
      <c r="M45" s="394"/>
      <c r="N45" s="246">
        <v>397316.56</v>
      </c>
      <c r="O45" s="246">
        <v>227702.08</v>
      </c>
      <c r="P45" s="399">
        <f>'2022 - 18 mln'!N21</f>
        <v>1001408.8356164384</v>
      </c>
      <c r="Q45" s="397" t="e">
        <f>#REF!</f>
        <v>#REF!</v>
      </c>
      <c r="R45" s="400" t="e">
        <f t="shared" si="7"/>
        <v>#REF!</v>
      </c>
      <c r="S45" s="401" t="e">
        <f t="shared" si="6"/>
        <v>#REF!</v>
      </c>
      <c r="T45" s="203"/>
      <c r="U45" s="204">
        <v>3480442</v>
      </c>
      <c r="V45" s="205" t="e">
        <f t="shared" si="8"/>
        <v>#REF!</v>
      </c>
      <c r="W45" s="58">
        <v>2025</v>
      </c>
    </row>
    <row r="46" spans="1:23" ht="11.25">
      <c r="A46" s="58">
        <f t="shared" si="5"/>
        <v>2026</v>
      </c>
      <c r="B46" s="133"/>
      <c r="C46" s="133"/>
      <c r="D46" s="133"/>
      <c r="E46" s="133"/>
      <c r="F46" s="133"/>
      <c r="G46" s="133"/>
      <c r="H46" s="133">
        <v>132618</v>
      </c>
      <c r="I46" s="133">
        <v>220725</v>
      </c>
      <c r="J46" s="133">
        <v>768697</v>
      </c>
      <c r="K46" s="392">
        <f>'bgk 15 mln'!N22</f>
        <v>290206.2</v>
      </c>
      <c r="L46" s="393">
        <f t="shared" si="4"/>
        <v>1412246.2</v>
      </c>
      <c r="M46" s="394"/>
      <c r="N46" s="246">
        <v>392787.08</v>
      </c>
      <c r="O46" s="246">
        <v>222882.08</v>
      </c>
      <c r="P46" s="399">
        <f>'2022 - 18 mln'!N22</f>
        <v>937308.8356164384</v>
      </c>
      <c r="Q46" s="397" t="e">
        <f>#REF!</f>
        <v>#REF!</v>
      </c>
      <c r="R46" s="400" t="e">
        <f t="shared" si="7"/>
        <v>#REF!</v>
      </c>
      <c r="S46" s="401" t="e">
        <f t="shared" si="6"/>
        <v>#REF!</v>
      </c>
      <c r="T46" s="203"/>
      <c r="U46" s="204">
        <v>3331993</v>
      </c>
      <c r="V46" s="205" t="e">
        <f t="shared" si="8"/>
        <v>#REF!</v>
      </c>
      <c r="W46" s="58">
        <v>2026</v>
      </c>
    </row>
    <row r="47" spans="1:23" ht="11.25">
      <c r="A47" s="58">
        <f t="shared" si="5"/>
        <v>2027</v>
      </c>
      <c r="B47" s="133"/>
      <c r="C47" s="133"/>
      <c r="D47" s="133"/>
      <c r="E47" s="133"/>
      <c r="F47" s="133"/>
      <c r="G47" s="133"/>
      <c r="H47" s="133">
        <v>63368</v>
      </c>
      <c r="I47" s="133">
        <v>155325</v>
      </c>
      <c r="J47" s="133">
        <v>768697</v>
      </c>
      <c r="K47" s="392">
        <f>'bgk 15 mln'!N23</f>
        <v>290206.2</v>
      </c>
      <c r="L47" s="393">
        <f t="shared" si="4"/>
        <v>1277596.2</v>
      </c>
      <c r="M47" s="394"/>
      <c r="N47" s="246">
        <v>387967.08</v>
      </c>
      <c r="O47" s="246">
        <v>218062.08</v>
      </c>
      <c r="P47" s="399">
        <f>'2022 - 18 mln'!N23</f>
        <v>873208.8356164384</v>
      </c>
      <c r="Q47" s="397" t="e">
        <f>#REF!</f>
        <v>#REF!</v>
      </c>
      <c r="R47" s="400" t="e">
        <f t="shared" si="7"/>
        <v>#REF!</v>
      </c>
      <c r="S47" s="401" t="e">
        <f t="shared" si="6"/>
        <v>#REF!</v>
      </c>
      <c r="T47" s="203"/>
      <c r="U47" s="204">
        <v>3176410</v>
      </c>
      <c r="V47" s="205" t="e">
        <f t="shared" si="8"/>
        <v>#REF!</v>
      </c>
      <c r="W47" s="58">
        <v>2027</v>
      </c>
    </row>
    <row r="48" spans="1:23" ht="11.25">
      <c r="A48" s="58">
        <v>2028</v>
      </c>
      <c r="B48" s="133"/>
      <c r="C48" s="133"/>
      <c r="D48" s="133"/>
      <c r="E48" s="133"/>
      <c r="F48" s="133"/>
      <c r="G48" s="133"/>
      <c r="H48" s="133"/>
      <c r="I48" s="133">
        <v>89925</v>
      </c>
      <c r="J48" s="133">
        <v>711135</v>
      </c>
      <c r="K48" s="392">
        <f>'bgk 15 mln'!N24</f>
        <v>290206.2</v>
      </c>
      <c r="L48" s="393">
        <f t="shared" si="4"/>
        <v>1091266.2</v>
      </c>
      <c r="M48" s="394"/>
      <c r="N48" s="246">
        <v>381463.38</v>
      </c>
      <c r="O48" s="246">
        <v>211386.71</v>
      </c>
      <c r="P48" s="399">
        <f>'2022 - 18 mln'!N24</f>
        <v>811391.8493150685</v>
      </c>
      <c r="Q48" s="397" t="e">
        <f>#REF!</f>
        <v>#REF!</v>
      </c>
      <c r="R48" s="400" t="e">
        <f t="shared" si="7"/>
        <v>#REF!</v>
      </c>
      <c r="S48" s="401" t="e">
        <f t="shared" si="6"/>
        <v>#REF!</v>
      </c>
      <c r="T48" s="203"/>
      <c r="U48" s="204">
        <v>2964068</v>
      </c>
      <c r="V48" s="205" t="e">
        <f t="shared" si="8"/>
        <v>#REF!</v>
      </c>
      <c r="W48" s="58">
        <v>2028</v>
      </c>
    </row>
    <row r="49" spans="1:23" ht="11.25">
      <c r="A49" s="58">
        <v>2029</v>
      </c>
      <c r="B49" s="133"/>
      <c r="C49" s="133"/>
      <c r="D49" s="133"/>
      <c r="E49" s="133"/>
      <c r="F49" s="133"/>
      <c r="G49" s="133"/>
      <c r="H49" s="133"/>
      <c r="I49" s="133">
        <v>89925</v>
      </c>
      <c r="J49" s="133">
        <v>554565</v>
      </c>
      <c r="K49" s="392">
        <f>'bgk 15 mln'!N25</f>
        <v>276792.278630137</v>
      </c>
      <c r="L49" s="393">
        <f t="shared" si="4"/>
        <v>921282.278630137</v>
      </c>
      <c r="M49" s="394"/>
      <c r="N49" s="246">
        <v>369175.68</v>
      </c>
      <c r="O49" s="246">
        <v>198742.47</v>
      </c>
      <c r="P49" s="399">
        <f>'2022 - 18 mln'!N25</f>
        <v>745008.8356164383</v>
      </c>
      <c r="Q49" s="397" t="e">
        <f>#REF!</f>
        <v>#REF!</v>
      </c>
      <c r="R49" s="400" t="e">
        <f t="shared" si="7"/>
        <v>#REF!</v>
      </c>
      <c r="S49" s="401" t="e">
        <f t="shared" si="6"/>
        <v>#REF!</v>
      </c>
      <c r="T49" s="203"/>
      <c r="U49" s="204">
        <v>2754633</v>
      </c>
      <c r="V49" s="205" t="e">
        <f t="shared" si="8"/>
        <v>#REF!</v>
      </c>
      <c r="W49" s="58">
        <v>2029</v>
      </c>
    </row>
    <row r="50" spans="1:23" ht="11.25">
      <c r="A50" s="58">
        <v>2030</v>
      </c>
      <c r="B50" s="133"/>
      <c r="C50" s="133"/>
      <c r="D50" s="133"/>
      <c r="E50" s="133"/>
      <c r="F50" s="133"/>
      <c r="G50" s="133"/>
      <c r="H50" s="133"/>
      <c r="I50" s="133">
        <v>44963</v>
      </c>
      <c r="J50" s="133">
        <v>397995</v>
      </c>
      <c r="K50" s="392">
        <f>'bgk 15 mln'!N26</f>
        <v>238347.19315068494</v>
      </c>
      <c r="L50" s="393">
        <f t="shared" si="4"/>
        <v>681305.1931506849</v>
      </c>
      <c r="M50" s="394"/>
      <c r="N50" s="246">
        <v>345075.68</v>
      </c>
      <c r="O50" s="246">
        <v>186692.47</v>
      </c>
      <c r="P50" s="399">
        <f>'2022 - 18 mln'!N26</f>
        <v>680908.8356164384</v>
      </c>
      <c r="Q50" s="397" t="e">
        <f>#REF!</f>
        <v>#REF!</v>
      </c>
      <c r="R50" s="400" t="e">
        <f t="shared" si="7"/>
        <v>#REF!</v>
      </c>
      <c r="S50" s="401" t="e">
        <f t="shared" si="6"/>
        <v>#REF!</v>
      </c>
      <c r="T50" s="203"/>
      <c r="U50" s="204">
        <v>2486181</v>
      </c>
      <c r="V50" s="205" t="e">
        <f t="shared" si="8"/>
        <v>#REF!</v>
      </c>
      <c r="W50" s="58">
        <v>2030</v>
      </c>
    </row>
    <row r="51" spans="1:23" ht="11.25">
      <c r="A51" s="58">
        <v>2031</v>
      </c>
      <c r="B51" s="133"/>
      <c r="C51" s="133"/>
      <c r="D51" s="133"/>
      <c r="E51" s="133"/>
      <c r="F51" s="133"/>
      <c r="G51" s="133"/>
      <c r="H51" s="133"/>
      <c r="I51" s="133"/>
      <c r="J51" s="247">
        <v>234579</v>
      </c>
      <c r="K51" s="392">
        <f>'bgk 15 mln'!N27</f>
        <v>200697.19315068494</v>
      </c>
      <c r="L51" s="393">
        <f t="shared" si="4"/>
        <v>435276.19315068494</v>
      </c>
      <c r="M51" s="394"/>
      <c r="N51" s="246">
        <v>320975.68</v>
      </c>
      <c r="O51" s="246">
        <v>174642.47</v>
      </c>
      <c r="P51" s="399">
        <f>'2022 - 18 mln'!N27</f>
        <v>616808.8356164384</v>
      </c>
      <c r="Q51" s="397" t="e">
        <f>#REF!</f>
        <v>#REF!</v>
      </c>
      <c r="R51" s="400" t="e">
        <f t="shared" si="7"/>
        <v>#REF!</v>
      </c>
      <c r="S51" s="401" t="e">
        <f t="shared" si="6"/>
        <v>#REF!</v>
      </c>
      <c r="T51" s="203"/>
      <c r="U51" s="204">
        <v>2206977</v>
      </c>
      <c r="V51" s="205" t="e">
        <f t="shared" si="8"/>
        <v>#REF!</v>
      </c>
      <c r="W51" s="58">
        <v>2031</v>
      </c>
    </row>
    <row r="52" spans="1:23" ht="11.25">
      <c r="A52" s="58">
        <v>2032</v>
      </c>
      <c r="B52" s="133"/>
      <c r="C52" s="133"/>
      <c r="D52" s="133"/>
      <c r="E52" s="133"/>
      <c r="F52" s="133"/>
      <c r="G52" s="133"/>
      <c r="H52" s="133"/>
      <c r="I52" s="133"/>
      <c r="J52" s="133">
        <v>59589</v>
      </c>
      <c r="K52" s="392">
        <f>'bgk 15 mln'!N28</f>
        <v>158727.65506849316</v>
      </c>
      <c r="L52" s="393">
        <f t="shared" si="4"/>
        <v>218316.65506849316</v>
      </c>
      <c r="M52" s="394"/>
      <c r="N52" s="246">
        <v>288519.92</v>
      </c>
      <c r="O52" s="246">
        <v>163054.66</v>
      </c>
      <c r="P52" s="399">
        <f>'2022 - 18 mln'!N28</f>
        <v>554289.3835616438</v>
      </c>
      <c r="Q52" s="397" t="e">
        <f>#REF!</f>
        <v>#REF!</v>
      </c>
      <c r="R52" s="400" t="e">
        <f t="shared" si="7"/>
        <v>#REF!</v>
      </c>
      <c r="S52" s="401" t="e">
        <f t="shared" si="6"/>
        <v>#REF!</v>
      </c>
      <c r="T52" s="203"/>
      <c r="U52" s="204">
        <v>1938197</v>
      </c>
      <c r="V52" s="205" t="e">
        <f t="shared" si="8"/>
        <v>#REF!</v>
      </c>
      <c r="W52" s="58">
        <v>2032</v>
      </c>
    </row>
    <row r="53" spans="1:23" ht="11.25">
      <c r="A53" s="58">
        <v>2033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392">
        <f>'bgk 15 mln'!N29</f>
        <v>117448.81397260277</v>
      </c>
      <c r="L53" s="393">
        <f t="shared" si="4"/>
        <v>117448.81397260277</v>
      </c>
      <c r="M53" s="394"/>
      <c r="N53" s="246">
        <v>239481.37</v>
      </c>
      <c r="O53" s="246">
        <v>150542.47</v>
      </c>
      <c r="P53" s="399">
        <f>'2022 - 18 mln'!N29</f>
        <v>488608.83561643836</v>
      </c>
      <c r="Q53" s="397" t="e">
        <f>#REF!</f>
        <v>#REF!</v>
      </c>
      <c r="R53" s="400" t="e">
        <f t="shared" si="7"/>
        <v>#REF!</v>
      </c>
      <c r="S53" s="401" t="e">
        <f t="shared" si="6"/>
        <v>#REF!</v>
      </c>
      <c r="T53" s="203"/>
      <c r="U53" s="204">
        <v>1722154</v>
      </c>
      <c r="V53" s="205" t="e">
        <f t="shared" si="8"/>
        <v>#REF!</v>
      </c>
      <c r="W53" s="58">
        <v>2033</v>
      </c>
    </row>
    <row r="54" spans="1:23" ht="11.25">
      <c r="A54" s="58">
        <v>2034</v>
      </c>
      <c r="B54" s="133"/>
      <c r="C54" s="133"/>
      <c r="D54" s="133"/>
      <c r="E54" s="133"/>
      <c r="F54" s="133"/>
      <c r="G54" s="133"/>
      <c r="H54" s="133"/>
      <c r="I54" s="133"/>
      <c r="J54" s="133"/>
      <c r="K54" s="392">
        <f>'bgk 15 mln'!N30</f>
        <v>102414.1890410959</v>
      </c>
      <c r="L54" s="393">
        <f t="shared" si="4"/>
        <v>102414.1890410959</v>
      </c>
      <c r="M54" s="394"/>
      <c r="N54" s="246">
        <v>191281.37</v>
      </c>
      <c r="O54" s="246">
        <v>138492.47</v>
      </c>
      <c r="P54" s="399">
        <f>'2022 - 18 mln'!N30</f>
        <v>424508.83561643836</v>
      </c>
      <c r="Q54" s="397" t="e">
        <f>#REF!</f>
        <v>#REF!</v>
      </c>
      <c r="R54" s="400" t="e">
        <f t="shared" si="7"/>
        <v>#REF!</v>
      </c>
      <c r="S54" s="401" t="e">
        <f t="shared" si="6"/>
        <v>#REF!</v>
      </c>
      <c r="T54" s="203"/>
      <c r="U54" s="204">
        <v>1542761</v>
      </c>
      <c r="V54" s="205" t="e">
        <f t="shared" si="8"/>
        <v>#REF!</v>
      </c>
      <c r="W54" s="58">
        <v>2034</v>
      </c>
    </row>
    <row r="55" spans="1:23" ht="11.25">
      <c r="A55" s="58">
        <v>2035</v>
      </c>
      <c r="B55" s="133"/>
      <c r="C55" s="133"/>
      <c r="D55" s="133"/>
      <c r="E55" s="133"/>
      <c r="F55" s="133"/>
      <c r="G55" s="133"/>
      <c r="H55" s="133"/>
      <c r="I55" s="133"/>
      <c r="J55" s="133"/>
      <c r="K55" s="392">
        <f>'bgk 15 mln'!N31</f>
        <v>87730.68904109589</v>
      </c>
      <c r="L55" s="393">
        <f t="shared" si="4"/>
        <v>87730.68904109589</v>
      </c>
      <c r="M55" s="394"/>
      <c r="N55" s="246">
        <v>152275.68</v>
      </c>
      <c r="O55" s="246">
        <v>126442.47</v>
      </c>
      <c r="P55" s="399">
        <f>'2022 - 18 mln'!N31</f>
        <v>360408.8356164384</v>
      </c>
      <c r="Q55" s="397" t="e">
        <f>#REF!</f>
        <v>#REF!</v>
      </c>
      <c r="R55" s="400" t="e">
        <f t="shared" si="7"/>
        <v>#REF!</v>
      </c>
      <c r="S55" s="401" t="e">
        <f t="shared" si="6"/>
        <v>#REF!</v>
      </c>
      <c r="T55" s="203"/>
      <c r="U55" s="204">
        <v>1362203</v>
      </c>
      <c r="V55" s="205" t="e">
        <f t="shared" si="8"/>
        <v>#REF!</v>
      </c>
      <c r="W55" s="58">
        <v>2035</v>
      </c>
    </row>
    <row r="56" spans="1:23" ht="11.25">
      <c r="A56" s="58">
        <v>2036</v>
      </c>
      <c r="B56" s="133"/>
      <c r="C56" s="133"/>
      <c r="D56" s="133"/>
      <c r="E56" s="133"/>
      <c r="F56" s="133"/>
      <c r="G56" s="133"/>
      <c r="H56" s="133"/>
      <c r="I56" s="133"/>
      <c r="J56" s="133"/>
      <c r="K56" s="392">
        <f>'bgk 15 mln'!N32</f>
        <v>73047.18904109589</v>
      </c>
      <c r="L56" s="393">
        <f t="shared" si="4"/>
        <v>73047.18904109589</v>
      </c>
      <c r="M56" s="394"/>
      <c r="N56" s="246">
        <v>128552.04</v>
      </c>
      <c r="O56" s="246">
        <v>114722.6</v>
      </c>
      <c r="P56" s="399">
        <f>'2022 - 18 mln'!N32</f>
        <v>297186.9178082192</v>
      </c>
      <c r="Q56" s="397" t="e">
        <f>#REF!</f>
        <v>#REF!</v>
      </c>
      <c r="R56" s="400" t="e">
        <f t="shared" si="7"/>
        <v>#REF!</v>
      </c>
      <c r="S56" s="401" t="e">
        <f t="shared" si="6"/>
        <v>#REF!</v>
      </c>
      <c r="T56" s="203"/>
      <c r="U56" s="204">
        <v>1183142</v>
      </c>
      <c r="V56" s="205" t="e">
        <f t="shared" si="8"/>
        <v>#REF!</v>
      </c>
      <c r="W56" s="58">
        <v>2036</v>
      </c>
    </row>
    <row r="57" spans="1:23" ht="11.25">
      <c r="A57" s="58">
        <v>2037</v>
      </c>
      <c r="B57" s="133"/>
      <c r="C57" s="133"/>
      <c r="D57" s="133"/>
      <c r="E57" s="133"/>
      <c r="F57" s="133"/>
      <c r="G57" s="133"/>
      <c r="H57" s="133"/>
      <c r="I57" s="133"/>
      <c r="J57" s="133"/>
      <c r="K57" s="392">
        <f>'bgk 15 mln'!N33</f>
        <v>58553.89890410959</v>
      </c>
      <c r="L57" s="393">
        <f t="shared" si="4"/>
        <v>58553.89890410959</v>
      </c>
      <c r="M57" s="394"/>
      <c r="N57" s="246">
        <v>104075.68</v>
      </c>
      <c r="O57" s="246">
        <v>102342.47</v>
      </c>
      <c r="P57" s="399">
        <f>'2022 - 18 mln'!N33</f>
        <v>232208.83561643836</v>
      </c>
      <c r="Q57" s="397" t="e">
        <f>#REF!</f>
        <v>#REF!</v>
      </c>
      <c r="R57" s="400" t="e">
        <f t="shared" si="7"/>
        <v>#REF!</v>
      </c>
      <c r="S57" s="401" t="e">
        <f t="shared" si="6"/>
        <v>#REF!</v>
      </c>
      <c r="T57" s="203"/>
      <c r="U57" s="204">
        <v>1003735</v>
      </c>
      <c r="V57" s="205" t="e">
        <f t="shared" si="8"/>
        <v>#REF!</v>
      </c>
      <c r="W57" s="58">
        <v>2037</v>
      </c>
    </row>
    <row r="58" spans="1:23" ht="11.25">
      <c r="A58" s="58">
        <v>2038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392">
        <f>'bgk 15 mln'!N34</f>
        <v>39425.22328767123</v>
      </c>
      <c r="L58" s="393">
        <f t="shared" si="4"/>
        <v>39425.22328767123</v>
      </c>
      <c r="M58" s="394"/>
      <c r="N58" s="246">
        <v>79975.68</v>
      </c>
      <c r="O58" s="246">
        <v>87205.68</v>
      </c>
      <c r="P58" s="399">
        <f>'2022 - 18 mln'!N34</f>
        <v>168108.83561643836</v>
      </c>
      <c r="Q58" s="397" t="e">
        <f>#REF!</f>
        <v>#REF!</v>
      </c>
      <c r="R58" s="400" t="e">
        <f t="shared" si="7"/>
        <v>#REF!</v>
      </c>
      <c r="S58" s="401" t="e">
        <f t="shared" si="6"/>
        <v>#REF!</v>
      </c>
      <c r="T58" s="203"/>
      <c r="U58" s="204">
        <v>843122</v>
      </c>
      <c r="V58" s="205" t="e">
        <f t="shared" si="8"/>
        <v>#REF!</v>
      </c>
      <c r="W58" s="58">
        <v>2038</v>
      </c>
    </row>
    <row r="59" spans="1:23" ht="11.25">
      <c r="A59" s="58">
        <v>2039</v>
      </c>
      <c r="B59" s="133"/>
      <c r="C59" s="133"/>
      <c r="D59" s="133"/>
      <c r="E59" s="133"/>
      <c r="F59" s="133"/>
      <c r="G59" s="133"/>
      <c r="H59" s="133"/>
      <c r="I59" s="133"/>
      <c r="J59" s="133"/>
      <c r="K59" s="392">
        <f>'bgk 15 mln'!N35</f>
        <v>19094.223287671233</v>
      </c>
      <c r="L59" s="393">
        <f t="shared" si="4"/>
        <v>19094.223287671233</v>
      </c>
      <c r="M59" s="394"/>
      <c r="N59" s="246">
        <v>55875.68</v>
      </c>
      <c r="O59" s="246">
        <v>63105.68</v>
      </c>
      <c r="P59" s="399">
        <f>'2022 - 18 mln'!N35</f>
        <v>104008.83561643836</v>
      </c>
      <c r="Q59" s="397" t="e">
        <f>#REF!</f>
        <v>#REF!</v>
      </c>
      <c r="R59" s="400" t="e">
        <f t="shared" si="7"/>
        <v>#REF!</v>
      </c>
      <c r="S59" s="401" t="e">
        <f t="shared" si="6"/>
        <v>#REF!</v>
      </c>
      <c r="T59" s="203"/>
      <c r="U59" s="204">
        <v>673546</v>
      </c>
      <c r="V59" s="205" t="e">
        <f t="shared" si="8"/>
        <v>#REF!</v>
      </c>
      <c r="W59" s="58">
        <v>2039</v>
      </c>
    </row>
    <row r="60" spans="1:23" ht="11.25">
      <c r="A60" s="58">
        <v>2040</v>
      </c>
      <c r="B60" s="133"/>
      <c r="C60" s="133"/>
      <c r="D60" s="133"/>
      <c r="E60" s="133"/>
      <c r="F60" s="133"/>
      <c r="G60" s="133"/>
      <c r="H60" s="133"/>
      <c r="I60" s="133"/>
      <c r="J60" s="133"/>
      <c r="K60" s="392">
        <f>'bgk 15 mln'!N36</f>
        <v>10109.798630136987</v>
      </c>
      <c r="L60" s="393">
        <f t="shared" si="4"/>
        <v>10109.798630136987</v>
      </c>
      <c r="M60" s="394"/>
      <c r="N60" s="246">
        <v>31887.93</v>
      </c>
      <c r="O60" s="246">
        <v>39137.74</v>
      </c>
      <c r="P60" s="399">
        <f>'2022 - 18 mln'!N36</f>
        <v>40084.45205479452</v>
      </c>
      <c r="Q60" s="397" t="e">
        <f>#REF!</f>
        <v>#REF!</v>
      </c>
      <c r="R60" s="400" t="e">
        <f t="shared" si="7"/>
        <v>#REF!</v>
      </c>
      <c r="S60" s="401" t="e">
        <f t="shared" si="6"/>
        <v>#REF!</v>
      </c>
      <c r="T60" s="203"/>
      <c r="U60" s="204">
        <v>505526</v>
      </c>
      <c r="V60" s="205" t="e">
        <f t="shared" si="8"/>
        <v>#REF!</v>
      </c>
      <c r="W60" s="58">
        <v>2040</v>
      </c>
    </row>
    <row r="61" spans="1:23" ht="11.25">
      <c r="A61" s="58">
        <v>2041</v>
      </c>
      <c r="B61" s="133"/>
      <c r="C61" s="133"/>
      <c r="D61" s="133"/>
      <c r="E61" s="133"/>
      <c r="F61" s="133"/>
      <c r="G61" s="133"/>
      <c r="H61" s="133"/>
      <c r="I61" s="133"/>
      <c r="J61" s="133"/>
      <c r="K61" s="392">
        <f>'bgk 15 mln'!N37</f>
        <v>4862.9358904109595</v>
      </c>
      <c r="L61" s="393">
        <f t="shared" si="4"/>
        <v>4862.9358904109595</v>
      </c>
      <c r="M61" s="209"/>
      <c r="N61" s="246">
        <v>8015.73</v>
      </c>
      <c r="O61" s="246">
        <v>14905.68</v>
      </c>
      <c r="P61" s="399">
        <f>'2022 - 18 mln'!N37</f>
        <v>0</v>
      </c>
      <c r="Q61" s="397" t="e">
        <f>#REF!</f>
        <v>#REF!</v>
      </c>
      <c r="R61" s="400" t="e">
        <f t="shared" si="7"/>
        <v>#REF!</v>
      </c>
      <c r="S61" s="401" t="e">
        <f t="shared" si="6"/>
        <v>#REF!</v>
      </c>
      <c r="T61" s="203"/>
      <c r="U61" s="204">
        <v>336151</v>
      </c>
      <c r="V61" s="205" t="e">
        <f t="shared" si="8"/>
        <v>#REF!</v>
      </c>
      <c r="W61" s="58">
        <v>2041</v>
      </c>
    </row>
    <row r="62" spans="1:23" ht="11.25">
      <c r="A62" s="58">
        <v>2042</v>
      </c>
      <c r="B62" s="133"/>
      <c r="C62" s="133"/>
      <c r="D62" s="133"/>
      <c r="E62" s="133"/>
      <c r="F62" s="133"/>
      <c r="G62" s="133"/>
      <c r="H62" s="133"/>
      <c r="I62" s="133"/>
      <c r="J62" s="133"/>
      <c r="K62" s="392"/>
      <c r="L62" s="393"/>
      <c r="M62" s="209"/>
      <c r="N62" s="246"/>
      <c r="O62" s="246"/>
      <c r="P62" s="399"/>
      <c r="Q62" s="397" t="e">
        <f>#REF!</f>
        <v>#REF!</v>
      </c>
      <c r="R62" s="400" t="e">
        <f t="shared" si="7"/>
        <v>#REF!</v>
      </c>
      <c r="S62" s="401" t="e">
        <f t="shared" si="6"/>
        <v>#REF!</v>
      </c>
      <c r="T62" s="203"/>
      <c r="U62" s="204">
        <v>217356</v>
      </c>
      <c r="V62" s="205" t="e">
        <f t="shared" si="8"/>
        <v>#REF!</v>
      </c>
      <c r="W62" s="58">
        <v>2042</v>
      </c>
    </row>
    <row r="63" spans="1:23" ht="11.25">
      <c r="A63" s="58">
        <v>2043</v>
      </c>
      <c r="B63" s="133"/>
      <c r="C63" s="133"/>
      <c r="D63" s="133"/>
      <c r="E63" s="133"/>
      <c r="F63" s="133"/>
      <c r="G63" s="133"/>
      <c r="H63" s="133"/>
      <c r="I63" s="133"/>
      <c r="J63" s="133"/>
      <c r="K63" s="392"/>
      <c r="L63" s="393"/>
      <c r="M63" s="209"/>
      <c r="N63" s="246"/>
      <c r="O63" s="246"/>
      <c r="P63" s="399"/>
      <c r="Q63" s="397" t="e">
        <f>#REF!</f>
        <v>#REF!</v>
      </c>
      <c r="R63" s="400" t="e">
        <f t="shared" si="7"/>
        <v>#REF!</v>
      </c>
      <c r="S63" s="401" t="e">
        <f t="shared" si="6"/>
        <v>#REF!</v>
      </c>
      <c r="T63" s="203"/>
      <c r="U63" s="204">
        <v>157356</v>
      </c>
      <c r="V63" s="205" t="e">
        <f t="shared" si="8"/>
        <v>#REF!</v>
      </c>
      <c r="W63" s="58">
        <v>2043</v>
      </c>
    </row>
    <row r="64" spans="1:23" ht="11.25">
      <c r="A64" s="58">
        <v>2044</v>
      </c>
      <c r="B64" s="133"/>
      <c r="C64" s="133"/>
      <c r="D64" s="133"/>
      <c r="E64" s="133"/>
      <c r="F64" s="133"/>
      <c r="G64" s="133"/>
      <c r="H64" s="133"/>
      <c r="I64" s="133"/>
      <c r="J64" s="133"/>
      <c r="K64" s="392"/>
      <c r="L64" s="393"/>
      <c r="M64" s="209"/>
      <c r="N64" s="246"/>
      <c r="O64" s="246"/>
      <c r="P64" s="399"/>
      <c r="Q64" s="397" t="e">
        <f>#REF!</f>
        <v>#REF!</v>
      </c>
      <c r="R64" s="400" t="e">
        <f t="shared" si="7"/>
        <v>#REF!</v>
      </c>
      <c r="S64" s="401" t="e">
        <f t="shared" si="6"/>
        <v>#REF!</v>
      </c>
      <c r="T64" s="203"/>
      <c r="U64" s="204">
        <v>97684</v>
      </c>
      <c r="V64" s="205" t="e">
        <f t="shared" si="8"/>
        <v>#REF!</v>
      </c>
      <c r="W64" s="58">
        <v>2044</v>
      </c>
    </row>
    <row r="65" spans="1:23" ht="11.25">
      <c r="A65" s="58">
        <v>2045</v>
      </c>
      <c r="B65" s="133"/>
      <c r="C65" s="133"/>
      <c r="D65" s="133"/>
      <c r="E65" s="133"/>
      <c r="F65" s="133"/>
      <c r="G65" s="133"/>
      <c r="H65" s="133"/>
      <c r="I65" s="133"/>
      <c r="J65" s="133"/>
      <c r="K65" s="392"/>
      <c r="L65" s="393"/>
      <c r="M65" s="209"/>
      <c r="N65" s="402"/>
      <c r="O65" s="246"/>
      <c r="P65" s="399"/>
      <c r="Q65" s="397" t="e">
        <f>#REF!</f>
        <v>#REF!</v>
      </c>
      <c r="R65" s="400" t="e">
        <f t="shared" si="7"/>
        <v>#REF!</v>
      </c>
      <c r="S65" s="401" t="e">
        <f t="shared" si="6"/>
        <v>#REF!</v>
      </c>
      <c r="T65" s="203"/>
      <c r="U65" s="403">
        <v>37356</v>
      </c>
      <c r="V65" s="205" t="e">
        <f t="shared" si="8"/>
        <v>#REF!</v>
      </c>
      <c r="W65" s="58">
        <v>2045</v>
      </c>
    </row>
    <row r="66" spans="1:23" ht="12.75">
      <c r="A66" s="144" t="str">
        <f>A36</f>
        <v>Suma</v>
      </c>
      <c r="B66" s="125">
        <f>SUM(B43:B61)</f>
        <v>0</v>
      </c>
      <c r="C66" s="125">
        <f aca="true" t="shared" si="9" ref="C66:L66">SUM(C42:C61)</f>
        <v>0</v>
      </c>
      <c r="D66" s="125">
        <f t="shared" si="9"/>
        <v>70714</v>
      </c>
      <c r="E66" s="125">
        <f t="shared" si="9"/>
        <v>0</v>
      </c>
      <c r="F66" s="125">
        <f t="shared" si="9"/>
        <v>0</v>
      </c>
      <c r="G66" s="125">
        <f t="shared" si="9"/>
        <v>401850</v>
      </c>
      <c r="H66" s="125">
        <f t="shared" si="9"/>
        <v>1222972</v>
      </c>
      <c r="I66" s="125">
        <f t="shared" si="9"/>
        <v>2035574</v>
      </c>
      <c r="J66" s="125">
        <f t="shared" si="9"/>
        <v>6570045</v>
      </c>
      <c r="K66" s="67">
        <f t="shared" si="9"/>
        <v>4553220.81260274</v>
      </c>
      <c r="L66" s="404">
        <f t="shared" si="9"/>
        <v>14854375.812602738</v>
      </c>
      <c r="M66" s="405">
        <f>SUM(M40:M61)</f>
        <v>0</v>
      </c>
      <c r="N66" s="88">
        <f>SUM(N42:N61)</f>
        <v>5086272.84</v>
      </c>
      <c r="O66" s="125">
        <f>SUM(O42:O61)</f>
        <v>2950213.1500000013</v>
      </c>
      <c r="P66" s="67">
        <f>SUM(P42:P61)</f>
        <v>10672874.312876713</v>
      </c>
      <c r="Q66" s="406" t="e">
        <f>SUM(Q42:Q65)</f>
        <v>#REF!</v>
      </c>
      <c r="R66" s="400" t="e">
        <f t="shared" si="7"/>
        <v>#REF!</v>
      </c>
      <c r="S66" s="407" t="e">
        <f t="shared" si="6"/>
        <v>#REF!</v>
      </c>
      <c r="T66" s="208"/>
      <c r="U66" s="408">
        <f>SUM(U42:U65)</f>
        <v>41470993</v>
      </c>
      <c r="V66" s="205" t="e">
        <f>SUM(V42:V65)</f>
        <v>#REF!</v>
      </c>
      <c r="W66"/>
    </row>
    <row r="67" spans="1:24" ht="11.25">
      <c r="A67" s="11"/>
      <c r="B67" s="133"/>
      <c r="C67" s="228"/>
      <c r="D67" s="228"/>
      <c r="E67" s="228"/>
      <c r="F67" s="228"/>
      <c r="G67" s="228"/>
      <c r="H67" s="228"/>
      <c r="I67" s="228"/>
      <c r="J67" s="228"/>
      <c r="K67" s="228"/>
      <c r="L67" s="249"/>
      <c r="M67" s="228"/>
      <c r="N67" s="228"/>
      <c r="O67" s="228"/>
      <c r="P67" s="228"/>
      <c r="Q67" s="249"/>
      <c r="R67" s="155"/>
      <c r="S67" s="155"/>
      <c r="T67" s="155"/>
      <c r="V67" s="3"/>
      <c r="W67" s="250"/>
      <c r="X67" s="3"/>
    </row>
    <row r="68" spans="22:24" ht="11.25">
      <c r="V68" s="3"/>
      <c r="W68" s="3"/>
      <c r="X68" s="3"/>
    </row>
    <row r="69" spans="22:24" ht="11.25">
      <c r="V69" s="3"/>
      <c r="W69" s="3"/>
      <c r="X69" s="3"/>
    </row>
    <row r="70" spans="9:24" ht="11.25">
      <c r="I70" s="19" t="s">
        <v>62</v>
      </c>
      <c r="J70" s="158">
        <v>4.2693</v>
      </c>
      <c r="K70" s="159"/>
      <c r="M70" s="160">
        <f>M66/J70</f>
        <v>0</v>
      </c>
      <c r="N70" s="161"/>
      <c r="O70" s="161"/>
      <c r="P70" s="160"/>
      <c r="Q70" s="161"/>
      <c r="R70" s="162"/>
      <c r="V70" s="3"/>
      <c r="W70" s="3"/>
      <c r="X70" s="3"/>
    </row>
    <row r="71" spans="22:24" ht="11.25">
      <c r="V71" s="3"/>
      <c r="W71" s="3"/>
      <c r="X71" s="3"/>
    </row>
    <row r="76" ht="11.25">
      <c r="K76" s="17" t="s">
        <v>64</v>
      </c>
    </row>
    <row r="77" spans="4:11" ht="12.75" customHeight="1">
      <c r="D77" s="855" t="s">
        <v>65</v>
      </c>
      <c r="E77" s="855"/>
      <c r="F77" s="855"/>
      <c r="G77" s="855"/>
      <c r="H77" s="855"/>
      <c r="I77" s="855"/>
      <c r="J77" s="855"/>
      <c r="K77" s="855"/>
    </row>
    <row r="78" spans="4:11" ht="11.25">
      <c r="D78" s="251"/>
      <c r="F78" s="251"/>
      <c r="G78" s="252">
        <v>1</v>
      </c>
      <c r="H78" s="252">
        <v>2</v>
      </c>
      <c r="I78" s="252">
        <v>3</v>
      </c>
      <c r="J78" s="252">
        <v>4</v>
      </c>
      <c r="K78" s="253">
        <v>5</v>
      </c>
    </row>
    <row r="79" spans="4:11" ht="56.25">
      <c r="D79" s="167" t="s">
        <v>13</v>
      </c>
      <c r="F79" s="167" t="s">
        <v>13</v>
      </c>
      <c r="G79" s="112" t="s">
        <v>66</v>
      </c>
      <c r="H79" s="112" t="s">
        <v>67</v>
      </c>
      <c r="I79" s="168" t="s">
        <v>68</v>
      </c>
      <c r="J79" s="168" t="s">
        <v>69</v>
      </c>
      <c r="K79" s="169" t="s">
        <v>70</v>
      </c>
    </row>
    <row r="80" spans="4:11" ht="11.25">
      <c r="D80" s="170">
        <v>2021</v>
      </c>
      <c r="F80" s="170">
        <v>2021</v>
      </c>
      <c r="G80" s="171">
        <f aca="true" t="shared" si="10" ref="G80:G100">SUM(B11:J11)</f>
        <v>6352591</v>
      </c>
      <c r="H80" s="172">
        <f aca="true" t="shared" si="11" ref="H80:H100">SUM(K11)</f>
        <v>21000</v>
      </c>
      <c r="I80" s="172">
        <f aca="true" t="shared" si="12" ref="I80:I100">SUM(M11+N11)</f>
        <v>0</v>
      </c>
      <c r="J80" s="173">
        <f aca="true" t="shared" si="13" ref="J80:J100">O11</f>
        <v>0</v>
      </c>
      <c r="K80" s="174">
        <f aca="true" t="shared" si="14" ref="K80:K100">SUM(G80:J80)</f>
        <v>6373591</v>
      </c>
    </row>
    <row r="81" spans="4:11" ht="11.25">
      <c r="D81" s="170">
        <v>2022</v>
      </c>
      <c r="F81" s="170">
        <v>2022</v>
      </c>
      <c r="G81" s="171">
        <f t="shared" si="10"/>
        <v>2000000</v>
      </c>
      <c r="H81" s="172">
        <f t="shared" si="11"/>
        <v>15000</v>
      </c>
      <c r="I81" s="172">
        <f t="shared" si="12"/>
        <v>50000</v>
      </c>
      <c r="J81" s="173">
        <f t="shared" si="13"/>
        <v>0</v>
      </c>
      <c r="K81" s="174">
        <f t="shared" si="14"/>
        <v>2065000</v>
      </c>
    </row>
    <row r="82" spans="4:11" ht="11.25">
      <c r="D82" s="170">
        <v>2023</v>
      </c>
      <c r="F82" s="170">
        <v>2023</v>
      </c>
      <c r="G82" s="171">
        <f t="shared" si="10"/>
        <v>3454759</v>
      </c>
      <c r="H82" s="172">
        <f t="shared" si="11"/>
        <v>25000</v>
      </c>
      <c r="I82" s="172">
        <f t="shared" si="12"/>
        <v>100000</v>
      </c>
      <c r="J82" s="173">
        <f t="shared" si="13"/>
        <v>200000</v>
      </c>
      <c r="K82" s="174">
        <f t="shared" si="14"/>
        <v>3779759</v>
      </c>
    </row>
    <row r="83" spans="4:11" ht="11.25">
      <c r="D83" s="170">
        <v>2024</v>
      </c>
      <c r="F83" s="170">
        <v>2024</v>
      </c>
      <c r="G83" s="171">
        <f t="shared" si="10"/>
        <v>5875000</v>
      </c>
      <c r="H83" s="172">
        <f t="shared" si="11"/>
        <v>65000</v>
      </c>
      <c r="I83" s="172">
        <f t="shared" si="12"/>
        <v>150000</v>
      </c>
      <c r="J83" s="173">
        <f t="shared" si="13"/>
        <v>200000</v>
      </c>
      <c r="K83" s="174">
        <f t="shared" si="14"/>
        <v>6290000</v>
      </c>
    </row>
    <row r="84" spans="4:11" ht="11.25">
      <c r="D84" s="170">
        <v>2025</v>
      </c>
      <c r="F84" s="170">
        <v>2025</v>
      </c>
      <c r="G84" s="171">
        <f t="shared" si="10"/>
        <v>4375000</v>
      </c>
      <c r="H84" s="172">
        <f t="shared" si="11"/>
        <v>65000</v>
      </c>
      <c r="I84" s="172">
        <f t="shared" si="12"/>
        <v>150000</v>
      </c>
      <c r="J84" s="173">
        <f t="shared" si="13"/>
        <v>200000</v>
      </c>
      <c r="K84" s="174">
        <f t="shared" si="14"/>
        <v>4790000</v>
      </c>
    </row>
    <row r="85" spans="4:11" ht="11.25">
      <c r="D85" s="170">
        <v>2026</v>
      </c>
      <c r="F85" s="170">
        <v>2026</v>
      </c>
      <c r="G85" s="171">
        <f t="shared" si="10"/>
        <v>4375000</v>
      </c>
      <c r="H85" s="172">
        <f t="shared" si="11"/>
        <v>65000</v>
      </c>
      <c r="I85" s="172">
        <f t="shared" si="12"/>
        <v>200000</v>
      </c>
      <c r="J85" s="173">
        <f t="shared" si="13"/>
        <v>200000</v>
      </c>
      <c r="K85" s="174">
        <f t="shared" si="14"/>
        <v>4840000</v>
      </c>
    </row>
    <row r="86" spans="4:11" ht="11.25">
      <c r="D86" s="170">
        <v>2027</v>
      </c>
      <c r="F86" s="170">
        <v>2027</v>
      </c>
      <c r="G86" s="171">
        <f t="shared" si="10"/>
        <v>6375000</v>
      </c>
      <c r="H86" s="172">
        <f t="shared" si="11"/>
        <v>293000</v>
      </c>
      <c r="I86" s="172">
        <f t="shared" si="12"/>
        <v>200000</v>
      </c>
      <c r="J86" s="173">
        <f t="shared" si="13"/>
        <v>200000</v>
      </c>
      <c r="K86" s="174">
        <f t="shared" si="14"/>
        <v>7068000</v>
      </c>
    </row>
    <row r="87" spans="4:11" ht="11.25">
      <c r="D87" s="170">
        <v>2028</v>
      </c>
      <c r="F87" s="170">
        <v>2028</v>
      </c>
      <c r="G87" s="171">
        <f t="shared" si="10"/>
        <v>7100000</v>
      </c>
      <c r="H87" s="172">
        <f t="shared" si="11"/>
        <v>293000</v>
      </c>
      <c r="I87" s="172">
        <f t="shared" si="12"/>
        <v>350000</v>
      </c>
      <c r="J87" s="173">
        <f t="shared" si="13"/>
        <v>500000</v>
      </c>
      <c r="K87" s="174">
        <f t="shared" si="14"/>
        <v>8243000</v>
      </c>
    </row>
    <row r="88" spans="4:11" ht="11.25">
      <c r="D88" s="170">
        <v>2029</v>
      </c>
      <c r="F88" s="170">
        <v>2029</v>
      </c>
      <c r="G88" s="171">
        <f t="shared" si="10"/>
        <v>6475000</v>
      </c>
      <c r="H88" s="172">
        <f t="shared" si="11"/>
        <v>652000</v>
      </c>
      <c r="I88" s="172">
        <f t="shared" si="12"/>
        <v>1000000</v>
      </c>
      <c r="J88" s="173">
        <f t="shared" si="13"/>
        <v>500000</v>
      </c>
      <c r="K88" s="174">
        <f t="shared" si="14"/>
        <v>8627000</v>
      </c>
    </row>
    <row r="89" spans="4:11" ht="11.25">
      <c r="D89" s="170">
        <v>2030</v>
      </c>
      <c r="F89" s="170">
        <v>2030</v>
      </c>
      <c r="G89" s="171">
        <f t="shared" si="10"/>
        <v>6698000</v>
      </c>
      <c r="H89" s="172">
        <f t="shared" si="11"/>
        <v>652000</v>
      </c>
      <c r="I89" s="172">
        <f t="shared" si="12"/>
        <v>1000000</v>
      </c>
      <c r="J89" s="173">
        <f t="shared" si="13"/>
        <v>500000</v>
      </c>
      <c r="K89" s="174">
        <f t="shared" si="14"/>
        <v>8850000</v>
      </c>
    </row>
    <row r="90" spans="4:11" ht="11.25">
      <c r="D90" s="170">
        <v>2031</v>
      </c>
      <c r="F90" s="170">
        <v>2031</v>
      </c>
      <c r="G90" s="171">
        <f t="shared" si="10"/>
        <v>5700000</v>
      </c>
      <c r="H90" s="172">
        <f t="shared" si="11"/>
        <v>652000</v>
      </c>
      <c r="I90" s="172">
        <f t="shared" si="12"/>
        <v>1000000</v>
      </c>
      <c r="J90" s="173">
        <f t="shared" si="13"/>
        <v>500000</v>
      </c>
      <c r="K90" s="174">
        <f t="shared" si="14"/>
        <v>7852000</v>
      </c>
    </row>
    <row r="91" spans="4:11" ht="11.25">
      <c r="D91" s="170">
        <v>2032</v>
      </c>
      <c r="F91" s="170">
        <v>2032</v>
      </c>
      <c r="G91" s="171">
        <f t="shared" si="10"/>
        <v>1941000</v>
      </c>
      <c r="H91" s="172">
        <f t="shared" si="11"/>
        <v>1695000</v>
      </c>
      <c r="I91" s="172">
        <f t="shared" si="12"/>
        <v>2000000</v>
      </c>
      <c r="J91" s="173">
        <f t="shared" si="13"/>
        <v>500000</v>
      </c>
      <c r="K91" s="174">
        <f t="shared" si="14"/>
        <v>6136000</v>
      </c>
    </row>
    <row r="92" spans="4:11" ht="11.25">
      <c r="D92" s="170">
        <v>2033</v>
      </c>
      <c r="F92" s="170">
        <v>2033</v>
      </c>
      <c r="G92" s="171">
        <f t="shared" si="10"/>
        <v>0</v>
      </c>
      <c r="H92" s="172">
        <f t="shared" si="11"/>
        <v>1695000</v>
      </c>
      <c r="I92" s="172">
        <f t="shared" si="12"/>
        <v>2000000</v>
      </c>
      <c r="J92" s="173">
        <f t="shared" si="13"/>
        <v>500000</v>
      </c>
      <c r="K92" s="174">
        <f t="shared" si="14"/>
        <v>4195000</v>
      </c>
    </row>
    <row r="93" spans="4:11" ht="11.25">
      <c r="D93" s="170">
        <v>2034</v>
      </c>
      <c r="F93" s="170">
        <v>2034</v>
      </c>
      <c r="G93" s="171">
        <f t="shared" si="10"/>
        <v>0</v>
      </c>
      <c r="H93" s="172">
        <f t="shared" si="11"/>
        <v>1695000</v>
      </c>
      <c r="I93" s="172">
        <f t="shared" si="12"/>
        <v>2000000</v>
      </c>
      <c r="J93" s="173">
        <f t="shared" si="13"/>
        <v>500000</v>
      </c>
      <c r="K93" s="174">
        <f t="shared" si="14"/>
        <v>4195000</v>
      </c>
    </row>
    <row r="94" spans="4:11" ht="11.25">
      <c r="D94" s="170">
        <v>2035</v>
      </c>
      <c r="F94" s="170">
        <v>2035</v>
      </c>
      <c r="G94" s="171">
        <f t="shared" si="10"/>
        <v>0</v>
      </c>
      <c r="H94" s="172">
        <f t="shared" si="11"/>
        <v>1695000</v>
      </c>
      <c r="I94" s="172">
        <f t="shared" si="12"/>
        <v>1000000</v>
      </c>
      <c r="J94" s="173">
        <f t="shared" si="13"/>
        <v>500000</v>
      </c>
      <c r="K94" s="174">
        <f t="shared" si="14"/>
        <v>3195000</v>
      </c>
    </row>
    <row r="95" spans="4:11" ht="11.25">
      <c r="D95" s="170">
        <v>2036</v>
      </c>
      <c r="F95" s="170">
        <v>2036</v>
      </c>
      <c r="G95" s="171">
        <f t="shared" si="10"/>
        <v>0</v>
      </c>
      <c r="H95" s="172">
        <f t="shared" si="11"/>
        <v>1695000</v>
      </c>
      <c r="I95" s="172">
        <f t="shared" si="12"/>
        <v>1000000</v>
      </c>
      <c r="J95" s="173">
        <f t="shared" si="13"/>
        <v>500000</v>
      </c>
      <c r="K95" s="174">
        <f t="shared" si="14"/>
        <v>3195000</v>
      </c>
    </row>
    <row r="96" spans="4:11" ht="11.25">
      <c r="D96" s="170">
        <v>2037</v>
      </c>
      <c r="F96" s="170">
        <v>2037</v>
      </c>
      <c r="G96" s="171">
        <f t="shared" si="10"/>
        <v>0</v>
      </c>
      <c r="H96" s="172">
        <f t="shared" si="11"/>
        <v>770000</v>
      </c>
      <c r="I96" s="172">
        <f t="shared" si="12"/>
        <v>1000000</v>
      </c>
      <c r="J96" s="173">
        <f t="shared" si="13"/>
        <v>500000</v>
      </c>
      <c r="K96" s="174">
        <f t="shared" si="14"/>
        <v>2270000</v>
      </c>
    </row>
    <row r="97" spans="4:11" ht="11.25">
      <c r="D97" s="170">
        <v>2038</v>
      </c>
      <c r="F97" s="170">
        <v>2038</v>
      </c>
      <c r="G97" s="171">
        <f t="shared" si="10"/>
        <v>0</v>
      </c>
      <c r="H97" s="172">
        <f t="shared" si="11"/>
        <v>770000</v>
      </c>
      <c r="I97" s="172">
        <f t="shared" si="12"/>
        <v>1000000</v>
      </c>
      <c r="J97" s="173">
        <f t="shared" si="13"/>
        <v>1000000</v>
      </c>
      <c r="K97" s="174">
        <f t="shared" si="14"/>
        <v>2770000</v>
      </c>
    </row>
    <row r="98" spans="4:11" ht="11.25">
      <c r="D98" s="170">
        <v>2039</v>
      </c>
      <c r="F98" s="170">
        <v>2039</v>
      </c>
      <c r="G98" s="171">
        <f t="shared" si="10"/>
        <v>0</v>
      </c>
      <c r="H98" s="172">
        <f t="shared" si="11"/>
        <v>770000</v>
      </c>
      <c r="I98" s="172">
        <f t="shared" si="12"/>
        <v>1000000</v>
      </c>
      <c r="J98" s="173">
        <f t="shared" si="13"/>
        <v>1000000</v>
      </c>
      <c r="K98" s="174">
        <f t="shared" si="14"/>
        <v>2770000</v>
      </c>
    </row>
    <row r="99" spans="4:11" ht="11.25">
      <c r="D99" s="170">
        <v>2040</v>
      </c>
      <c r="F99" s="170">
        <v>2040</v>
      </c>
      <c r="G99" s="171">
        <f t="shared" si="10"/>
        <v>0</v>
      </c>
      <c r="H99" s="172">
        <f t="shared" si="11"/>
        <v>770000</v>
      </c>
      <c r="I99" s="172">
        <f t="shared" si="12"/>
        <v>1000000</v>
      </c>
      <c r="J99" s="173">
        <f t="shared" si="13"/>
        <v>1000000</v>
      </c>
      <c r="K99" s="174">
        <f t="shared" si="14"/>
        <v>2770000</v>
      </c>
    </row>
    <row r="100" spans="4:11" ht="11.25">
      <c r="D100" s="170">
        <v>2041</v>
      </c>
      <c r="F100" s="170">
        <v>2041</v>
      </c>
      <c r="G100" s="171">
        <f t="shared" si="10"/>
        <v>0</v>
      </c>
      <c r="H100" s="172">
        <f t="shared" si="11"/>
        <v>647000</v>
      </c>
      <c r="I100" s="172">
        <f t="shared" si="12"/>
        <v>699999.9999999999</v>
      </c>
      <c r="J100" s="173">
        <f t="shared" si="13"/>
        <v>1000000</v>
      </c>
      <c r="K100" s="174">
        <f t="shared" si="14"/>
        <v>2347000</v>
      </c>
    </row>
    <row r="101" spans="4:11" ht="11.25">
      <c r="D101" s="175" t="s">
        <v>42</v>
      </c>
      <c r="F101" s="175" t="s">
        <v>42</v>
      </c>
      <c r="G101" s="176">
        <f>SUM(G80:G100)</f>
        <v>60721350</v>
      </c>
      <c r="H101" s="177">
        <f>SUM(H80:H100)</f>
        <v>15000000</v>
      </c>
      <c r="I101" s="177">
        <f>SUM(I80:I100)</f>
        <v>16900000</v>
      </c>
      <c r="J101" s="176">
        <f>SUM(J80:J100)</f>
        <v>10000000</v>
      </c>
      <c r="K101" s="178">
        <f>SUM(K80:K100)</f>
        <v>102621350</v>
      </c>
    </row>
    <row r="104" ht="13.5" customHeight="1"/>
  </sheetData>
  <sheetProtection selectLockedCells="1" selectUnlockedCells="1"/>
  <mergeCells count="10">
    <mergeCell ref="D77:K77"/>
    <mergeCell ref="C1:G1"/>
    <mergeCell ref="L1:R1"/>
    <mergeCell ref="D2:H2"/>
    <mergeCell ref="A3:B3"/>
    <mergeCell ref="B4:F4"/>
    <mergeCell ref="N4:O4"/>
    <mergeCell ref="C7:F7"/>
    <mergeCell ref="G7:J7"/>
    <mergeCell ref="K7:M7"/>
  </mergeCells>
  <printOptions/>
  <pageMargins left="0.7000000000000001" right="0.7000000000000001" top="0.75" bottom="0.75" header="0.5118110236220472" footer="0.5118110236220472"/>
  <pageSetup fitToWidth="0" fitToHeight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Sztajer</dc:creator>
  <cp:keywords/>
  <dc:description/>
  <cp:lastModifiedBy>Joanna Tulejko</cp:lastModifiedBy>
  <cp:lastPrinted>2024-07-05T06:14:32Z</cp:lastPrinted>
  <dcterms:created xsi:type="dcterms:W3CDTF">2022-11-14T08:36:32Z</dcterms:created>
  <dcterms:modified xsi:type="dcterms:W3CDTF">2024-07-15T06:53:06Z</dcterms:modified>
  <cp:category/>
  <cp:version/>
  <cp:contentType/>
  <cp:contentStatus/>
</cp:coreProperties>
</file>