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ka\Desktop\pulpit\WTI\INWESTYCJE\budowa chodnika Parkowa i  Krasickiego\"/>
    </mc:Choice>
  </mc:AlternateContent>
  <xr:revisionPtr revIDLastSave="0" documentId="8_{9A63EE40-8191-4933-B8C7-6C262A1B4413}" xr6:coauthVersionLast="47" xr6:coauthVersionMax="47" xr10:uidLastSave="{00000000-0000-0000-0000-000000000000}"/>
  <bookViews>
    <workbookView xWindow="-108" yWindow="-108" windowWidth="23256" windowHeight="12456" firstSheet="5" activeTab="8" xr2:uid="{00000000-000D-0000-FFFF-FFFF00000000}"/>
  </bookViews>
  <sheets>
    <sheet name="Informacje ogólne" sheetId="6" r:id="rId1"/>
    <sheet name="Sciegiennego jezdnia" sheetId="1" r:id="rId2"/>
    <sheet name="Sciegiennego chodniki" sheetId="3" r:id="rId3"/>
    <sheet name="Słowackiego jezdnia " sheetId="7" r:id="rId4"/>
    <sheet name="Słowackiego chodniki " sheetId="8" r:id="rId5"/>
    <sheet name="Dmowskiego jezdnia " sheetId="9" r:id="rId6"/>
    <sheet name="Dmowskiego chodniki" sheetId="10" r:id="rId7"/>
    <sheet name="Boh. Monte Cassino chodnik " sheetId="12" r:id="rId8"/>
    <sheet name="Parkowa  chodnik" sheetId="11" r:id="rId9"/>
    <sheet name="Krasickiego chodnik iścieżka  " sheetId="1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\l">[1]rys6!#REF!</definedName>
    <definedName name="\z">[1]rys6!#REF!</definedName>
    <definedName name="_C">#REF!</definedName>
    <definedName name="A_marża_PW">#REF!</definedName>
    <definedName name="A_marża_SW">#REF!</definedName>
    <definedName name="ASD">[2]ZZK!$E$2</definedName>
    <definedName name="B_marża_PW">'[3]od. B'!$I$4</definedName>
    <definedName name="B_marża_SW">'[4]2.1.b'!$I$6</definedName>
    <definedName name="beton_B10_K2">'[5]cennik '!$D$34</definedName>
    <definedName name="BOX_narzut">'[3]odc. A'!$AZ$2</definedName>
    <definedName name="BUDOW">[6]BUDOWLANE!$J$7</definedName>
    <definedName name="C_marża_PW">'[7]2.1.c'!$K$7</definedName>
    <definedName name="D_marża_PW">#REF!</definedName>
    <definedName name="D_marża_SW">#REF!</definedName>
    <definedName name="DAKBUD">'[8]1 AL. MB FATIMSKIEJ - PL. PIAST'!$AI$6</definedName>
    <definedName name="dane">#REF!</definedName>
    <definedName name="das">#REF!</definedName>
    <definedName name="ddddd">'[9]cennik '!$L$16:$L$41</definedName>
    <definedName name="E_marża_PW">'[3]odc. E'!$J$6</definedName>
    <definedName name="E_marża_SW">'[3]odc. E'!$J$5</definedName>
    <definedName name="EDE">#REF!</definedName>
    <definedName name="elekt">[6]ELEKTRYCZNE!$K$7</definedName>
    <definedName name="F_marża_PW">'[3]odc. F'!$I$18</definedName>
    <definedName name="F_marża_SW">'[3]odc. F'!$I$17</definedName>
    <definedName name="G_gw_suchocki">'[7]2.1.g'!$N$6</definedName>
    <definedName name="G_marża_PW">'[7]2.1.g'!$J$7</definedName>
    <definedName name="gest_KŁSM_kontrakt">'[5]cennik '!$E$51</definedName>
    <definedName name="gest_KŁSM_Yeoman">'[5]cennik '!$E$48</definedName>
    <definedName name="gest_piasek">'[5]cennik '!$E$57</definedName>
    <definedName name="gest_stab_1.5">'[5]cennik '!$E$40</definedName>
    <definedName name="gest_ście_AC8_kr1.2_oryg">'[5]cennik '!$E$16</definedName>
    <definedName name="gęst_KŁSM">#REF!</definedName>
    <definedName name="gęst_mas">'[3]odc. A'!$O$1</definedName>
    <definedName name="gęst_masa">#REF!</definedName>
    <definedName name="gęst_mrozoochr">'[3]odc. A'!$Q$1</definedName>
    <definedName name="gęst_stabil_1.5">'[3]odc. A'!$Q$2</definedName>
    <definedName name="gęst_stabil_C3.4">'[3]odc. A'!$Q$3</definedName>
    <definedName name="gotowa_naw_z_kost8">'[2]S1 DK22 - Królewo'!$W$57</definedName>
    <definedName name="gr">[10]Konwersja!$K$10</definedName>
    <definedName name="H_gw_suchocki">'[7]2.1.h'!$M$6</definedName>
    <definedName name="H_marża_PW">'[7]2.1.h'!$I$7</definedName>
    <definedName name="KŁSM_kontrakt">'[5]cennik '!$D$51</definedName>
    <definedName name="koszt_zesp_bit">'[2]ZESTAWIENIE MAS'!$M$3</definedName>
    <definedName name="kurs">4.2735</definedName>
    <definedName name="Marża_PW">'[11]KOSZTORYS OFERTOWY'!$H$5</definedName>
    <definedName name="Marża_SW">'[11]KOSZTORYS OFERTOWY'!$H$4</definedName>
    <definedName name="materiały">'[5]cennik '!$B$2:$B$106</definedName>
    <definedName name="NrKolumnyFormuly">#REF!</definedName>
    <definedName name="NrKolumnyWyniku">#REF!</definedName>
    <definedName name="_xlnm.Print_Area">#REF!</definedName>
    <definedName name="odl_masy">[5]budżet!$V$2</definedName>
    <definedName name="odsączająca">'[5]cennik '!$D$58</definedName>
    <definedName name="osoba_odpowiedzialna">'[3]lista wyboru'!$A$3:$A$14</definedName>
    <definedName name="piasek">'[5]cennik '!$D$57</definedName>
    <definedName name="podsypka_cem_1.4">'[5]cennik '!$D$36</definedName>
    <definedName name="podwykonawcy">'[5]cennik '!$G$114:$G$125</definedName>
    <definedName name="polbruk_8_kolor">'[5]cennik '!$D$74</definedName>
    <definedName name="przelicznik_kursowy_zł_EUR">'[12]B3 SUMA'!#REF!</definedName>
    <definedName name="razem">'[11]KOSZTORYS OFERTOWY'!$H$58</definedName>
    <definedName name="Razem_A">#REF!</definedName>
    <definedName name="Razem_A_brutto">'[3]odc. A'!$G$312</definedName>
    <definedName name="Razem_B">'[4]2.1.b'!$I$81</definedName>
    <definedName name="Razem_B_brutto">'[3]od. B'!$G$363</definedName>
    <definedName name="Razem_C">'[3]odc. C'!$I$273</definedName>
    <definedName name="Razem_C_brutto">'[3]odc. C'!$G$273</definedName>
    <definedName name="Razem_D">#REF!</definedName>
    <definedName name="Razem_D_brutto">#REF!</definedName>
    <definedName name="RAZEM_DROG">#REF!</definedName>
    <definedName name="Razem_E">'[3]odc. E'!$J$213</definedName>
    <definedName name="Razem_F">'[3]odc. F'!$I$110</definedName>
    <definedName name="robocizna">'[5]cennik '!$L$16:$L$41</definedName>
    <definedName name="SANIT">[6]SANIT!$K$7</definedName>
    <definedName name="SAP">[6]SAP!$K$7</definedName>
    <definedName name="sprzęt">'[5]cennik '!$G$2:$G$107</definedName>
    <definedName name="swin">[6]SWIN!$K$7</definedName>
    <definedName name="total">'[13]KOSZTORYS OFERTOWY'!$I$89</definedName>
    <definedName name="Total_222">[3]ZESTAWIENIE!$H$12</definedName>
    <definedName name="Total_koszt">[2]ZZK!$E$15</definedName>
    <definedName name="TRANSP">'[13]KOSZTORYS OFERTOWY'!$S$4</definedName>
    <definedName name="transport">'[5]cennik '!$L$2:$L$14</definedName>
    <definedName name="_xlnm.Print_Titles">#REF!</definedName>
    <definedName name="układ_kraw_ciężk">'[5]cennik '!$N$31</definedName>
    <definedName name="układ_kraw_lekki">'[5]cennik '!$N$32</definedName>
    <definedName name="wbud_mas">'[14]ZESTAWIENIE MAS'!$M$10</definedName>
    <definedName name="wiążąca_AC16W_kr3.4">'[5]cennik '!$D$6</definedName>
    <definedName name="zł">[10]Konwersja!$K$8</definedName>
    <definedName name="żwir_pobocza">'[5]cennik '!$D$56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  <c r="H2" i="12"/>
  <c r="F38" i="13"/>
  <c r="F37" i="13"/>
  <c r="F36" i="13"/>
  <c r="D27" i="13"/>
  <c r="F27" i="13" s="1"/>
  <c r="F33" i="13"/>
  <c r="D32" i="13"/>
  <c r="F32" i="13" s="1"/>
  <c r="F30" i="13"/>
  <c r="F21" i="13"/>
  <c r="E14" i="13"/>
  <c r="F14" i="13" s="1"/>
  <c r="D10" i="13"/>
  <c r="F10" i="13" s="1"/>
  <c r="D8" i="13"/>
  <c r="D9" i="13" s="1"/>
  <c r="F26" i="13"/>
  <c r="F18" i="13"/>
  <c r="F25" i="13"/>
  <c r="A17" i="13"/>
  <c r="A18" i="13" s="1"/>
  <c r="F17" i="13"/>
  <c r="D26" i="12"/>
  <c r="F24" i="13" l="1"/>
  <c r="F13" i="13"/>
  <c r="F20" i="13"/>
  <c r="F8" i="13"/>
  <c r="F9" i="13"/>
  <c r="A20" i="13"/>
  <c r="A21" i="13" l="1"/>
  <c r="A24" i="13" s="1"/>
  <c r="F39" i="13"/>
  <c r="F40" i="13" s="1"/>
  <c r="F41" i="13" s="1"/>
  <c r="F42" i="13" s="1"/>
  <c r="A25" i="13" l="1"/>
  <c r="A26" i="13" s="1"/>
  <c r="A27" i="13" l="1"/>
  <c r="A32" i="13" s="1"/>
  <c r="A33" i="13" s="1"/>
  <c r="F26" i="12" l="1"/>
  <c r="F24" i="12"/>
  <c r="F21" i="12"/>
  <c r="A17" i="12"/>
  <c r="A20" i="12" s="1"/>
  <c r="D15" i="12"/>
  <c r="F15" i="12" s="1"/>
  <c r="A15" i="12"/>
  <c r="D20" i="12"/>
  <c r="F20" i="12" s="1"/>
  <c r="H2" i="11"/>
  <c r="F20" i="11" s="1"/>
  <c r="F26" i="11"/>
  <c r="F24" i="11"/>
  <c r="F21" i="11"/>
  <c r="A15" i="11"/>
  <c r="F12" i="11"/>
  <c r="F9" i="11"/>
  <c r="D30" i="9"/>
  <c r="D21" i="10"/>
  <c r="D20" i="10" s="1"/>
  <c r="D21" i="8"/>
  <c r="D17" i="10"/>
  <c r="D15" i="10"/>
  <c r="D12" i="10"/>
  <c r="D9" i="10"/>
  <c r="D8" i="10"/>
  <c r="E20" i="9"/>
  <c r="D3" i="9"/>
  <c r="D8" i="9"/>
  <c r="D7" i="9"/>
  <c r="E5" i="9"/>
  <c r="D6" i="9"/>
  <c r="D5" i="9"/>
  <c r="F24" i="9"/>
  <c r="D30" i="7"/>
  <c r="F24" i="7"/>
  <c r="D17" i="8"/>
  <c r="D15" i="8"/>
  <c r="D12" i="8"/>
  <c r="D9" i="8"/>
  <c r="D8" i="8"/>
  <c r="E5" i="7"/>
  <c r="D27" i="8"/>
  <c r="F27" i="8" s="1"/>
  <c r="A27" i="8"/>
  <c r="F25" i="1"/>
  <c r="D3" i="1"/>
  <c r="D5" i="1"/>
  <c r="A26" i="12" l="1"/>
  <c r="A21" i="12"/>
  <c r="D8" i="12"/>
  <c r="F8" i="12" s="1"/>
  <c r="D9" i="12"/>
  <c r="F9" i="12" s="1"/>
  <c r="D17" i="12"/>
  <c r="F17" i="12" s="1"/>
  <c r="D12" i="12"/>
  <c r="F12" i="12" s="1"/>
  <c r="F15" i="11"/>
  <c r="F17" i="11"/>
  <c r="F8" i="11"/>
  <c r="A17" i="11"/>
  <c r="A20" i="11" s="1"/>
  <c r="D20" i="3"/>
  <c r="D8" i="1"/>
  <c r="D17" i="3"/>
  <c r="D15" i="3"/>
  <c r="D12" i="3"/>
  <c r="D9" i="3"/>
  <c r="D8" i="3"/>
  <c r="D6" i="1"/>
  <c r="E5" i="1" s="1"/>
  <c r="D6" i="7"/>
  <c r="D5" i="7"/>
  <c r="D7" i="7"/>
  <c r="E14" i="7" s="1"/>
  <c r="G14" i="7" s="1"/>
  <c r="D8" i="7"/>
  <c r="E20" i="7"/>
  <c r="D3" i="7"/>
  <c r="E13" i="7" s="1"/>
  <c r="E18" i="7" s="1"/>
  <c r="G18" i="7" s="1"/>
  <c r="F26" i="10"/>
  <c r="F24" i="10"/>
  <c r="F21" i="10"/>
  <c r="F20" i="10"/>
  <c r="A17" i="10"/>
  <c r="F15" i="10"/>
  <c r="A15" i="10"/>
  <c r="A20" i="10" s="1"/>
  <c r="F12" i="10"/>
  <c r="F9" i="10"/>
  <c r="F8" i="10"/>
  <c r="G24" i="9"/>
  <c r="B24" i="9"/>
  <c r="G23" i="9"/>
  <c r="G22" i="9"/>
  <c r="G21" i="9"/>
  <c r="G20" i="9"/>
  <c r="E16" i="9"/>
  <c r="G16" i="9" s="1"/>
  <c r="B14" i="9"/>
  <c r="E15" i="9"/>
  <c r="G15" i="9" s="1"/>
  <c r="E13" i="9"/>
  <c r="F26" i="8"/>
  <c r="F24" i="8"/>
  <c r="F17" i="8"/>
  <c r="F15" i="8"/>
  <c r="A15" i="8"/>
  <c r="F12" i="8"/>
  <c r="F9" i="8"/>
  <c r="F8" i="8"/>
  <c r="G24" i="7"/>
  <c r="B24" i="7"/>
  <c r="G23" i="7"/>
  <c r="G22" i="7"/>
  <c r="G21" i="7"/>
  <c r="G20" i="7"/>
  <c r="E15" i="7"/>
  <c r="G15" i="7" s="1"/>
  <c r="B14" i="7"/>
  <c r="E16" i="7"/>
  <c r="D7" i="1"/>
  <c r="E16" i="1" s="1"/>
  <c r="G16" i="1" s="1"/>
  <c r="E21" i="1"/>
  <c r="G21" i="1" s="1"/>
  <c r="G22" i="1"/>
  <c r="F24" i="3"/>
  <c r="B25" i="1"/>
  <c r="D4" i="1"/>
  <c r="E14" i="1" s="1"/>
  <c r="G23" i="1"/>
  <c r="F27" i="11" l="1"/>
  <c r="F28" i="11" s="1"/>
  <c r="F29" i="11" s="1"/>
  <c r="F30" i="11" s="1"/>
  <c r="E18" i="1"/>
  <c r="E19" i="1"/>
  <c r="G19" i="1" s="1"/>
  <c r="E17" i="1"/>
  <c r="F27" i="12"/>
  <c r="F28" i="12" s="1"/>
  <c r="A21" i="11"/>
  <c r="A26" i="11" s="1"/>
  <c r="D20" i="8"/>
  <c r="F20" i="8" s="1"/>
  <c r="A21" i="10"/>
  <c r="A26" i="10" s="1"/>
  <c r="F27" i="10"/>
  <c r="F17" i="10"/>
  <c r="E17" i="9"/>
  <c r="G17" i="9" s="1"/>
  <c r="G13" i="9"/>
  <c r="E18" i="9"/>
  <c r="G18" i="9" s="1"/>
  <c r="E14" i="9"/>
  <c r="G14" i="9" s="1"/>
  <c r="E19" i="9"/>
  <c r="G19" i="9" s="1"/>
  <c r="A17" i="8"/>
  <c r="A20" i="8" s="1"/>
  <c r="F21" i="8"/>
  <c r="F28" i="8" s="1"/>
  <c r="F29" i="8" s="1"/>
  <c r="E19" i="7"/>
  <c r="G19" i="7" s="1"/>
  <c r="G16" i="7"/>
  <c r="G13" i="7"/>
  <c r="E17" i="7"/>
  <c r="G17" i="7" s="1"/>
  <c r="F29" i="12" l="1"/>
  <c r="F30" i="12" s="1"/>
  <c r="F28" i="10"/>
  <c r="F29" i="10" s="1"/>
  <c r="F30" i="10" s="1"/>
  <c r="G25" i="9"/>
  <c r="G26" i="9" s="1"/>
  <c r="G27" i="9" s="1"/>
  <c r="G25" i="7"/>
  <c r="G26" i="7" s="1"/>
  <c r="G27" i="7" s="1"/>
  <c r="F30" i="8"/>
  <c r="F31" i="8" s="1"/>
  <c r="A21" i="8"/>
  <c r="A26" i="8" s="1"/>
  <c r="F26" i="3" l="1"/>
  <c r="F21" i="3"/>
  <c r="F20" i="3"/>
  <c r="F15" i="3"/>
  <c r="F12" i="3"/>
  <c r="F9" i="3"/>
  <c r="F8" i="3"/>
  <c r="G24" i="1"/>
  <c r="B15" i="1"/>
  <c r="E15" i="1"/>
  <c r="G15" i="1" s="1"/>
  <c r="G18" i="1"/>
  <c r="F17" i="3" l="1"/>
  <c r="F27" i="3" s="1"/>
  <c r="F28" i="3" s="1"/>
  <c r="G17" i="1"/>
  <c r="A15" i="3"/>
  <c r="G14" i="1" l="1"/>
  <c r="E20" i="1"/>
  <c r="G20" i="1" s="1"/>
  <c r="F29" i="3"/>
  <c r="F30" i="3" s="1"/>
  <c r="A17" i="3"/>
  <c r="A20" i="3" l="1"/>
  <c r="A21" i="3" l="1"/>
  <c r="A26" i="3" s="1"/>
  <c r="G25" i="1"/>
  <c r="G26" i="1"/>
  <c r="G27" i="1" l="1"/>
  <c r="G28" i="1" s="1"/>
</calcChain>
</file>

<file path=xl/sharedStrings.xml><?xml version="1.0" encoding="utf-8"?>
<sst xmlns="http://schemas.openxmlformats.org/spreadsheetml/2006/main" count="593" uniqueCount="104">
  <si>
    <t>Obmiar:</t>
  </si>
  <si>
    <t>Poz.</t>
  </si>
  <si>
    <t>Wyszczególnienie elementów rozliczeniowych                                            (Opis robót i obliczenie ich ilości)</t>
  </si>
  <si>
    <t>Jednostka</t>
  </si>
  <si>
    <t>Cena jednostkowa</t>
  </si>
  <si>
    <t>Wartość pozycji</t>
  </si>
  <si>
    <t>Nazwa</t>
  </si>
  <si>
    <t>Ilość</t>
  </si>
  <si>
    <t>m2</t>
  </si>
  <si>
    <t xml:space="preserve">- rozebranie krawężników betonowych na ławie betonowej </t>
  </si>
  <si>
    <t>mb</t>
  </si>
  <si>
    <t xml:space="preserve"> - ustawienie krawężników betonowych 15x30x100 cm na ławie betonowej z oporem z betonu C12/15 i na podsypce 5 cm</t>
  </si>
  <si>
    <t>- regulacja wysokościowa włazów studni kanalizacji deszczowej</t>
  </si>
  <si>
    <t>szt.</t>
  </si>
  <si>
    <t>- regulacja wysokościowa wpustów studzienek ściekowych</t>
  </si>
  <si>
    <t>RAZEM (netto):</t>
  </si>
  <si>
    <t>PODATEK VAT 23 %:</t>
  </si>
  <si>
    <t>CENA OFERTOWA (brutto):</t>
  </si>
  <si>
    <t>drogowa - chodnik Piłsudskiego</t>
  </si>
  <si>
    <t>*</t>
  </si>
  <si>
    <t>Rozbiórki elementów dróg, ogrodzeń i przepustów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</si>
  <si>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</si>
  <si>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- rozebranie podbudowy z kruszywa o grubości około 10 cm</t>
  </si>
  <si>
    <t>ROBOTY ZIEMNE</t>
  </si>
  <si>
    <t>___</t>
  </si>
  <si>
    <t>Wykonanie wykopów</t>
  </si>
  <si>
    <t>PODBUDOWY</t>
  </si>
  <si>
    <t>Podbudowa z kruszywa niezwiązanego</t>
  </si>
  <si>
    <t>- podbudowa z kruszywa łamanego stabilizowanego mechanicznie gr. 10 cm</t>
  </si>
  <si>
    <t>Podbudowa z mieszanki związanej spoiwem hydraulicznym</t>
  </si>
  <si>
    <t>- grunt stabilizowany cementem Rm=2,5 Mpa gr. 10 cm</t>
  </si>
  <si>
    <t>NAWIERZCHNIE</t>
  </si>
  <si>
    <t>Nawierzchnia z kostki brukowej betonowej</t>
  </si>
  <si>
    <t>- nawierzchnia z kostki brukowej betonowej fazowanej koloru szarego gr. 6cm na podsypce cementowo - piaskowej gr. 3cm (chodniki)</t>
  </si>
  <si>
    <t>- nawierzchnia z kostki brukowej betonowej fazowanej koloru szarego gr. 8cm na podsypce cementowo - piaskowej gr. 3cm (zjazdy)</t>
  </si>
  <si>
    <t>ELEMENTY ULIC</t>
  </si>
  <si>
    <t>Krawężniki betonowe</t>
  </si>
  <si>
    <t>- ustawienie krawężników betonowych 15x30x100 cm na ławie betonowej z oporem z betonu C12/15 i na podsypce 5 cm</t>
  </si>
  <si>
    <t>Betonowe obrzeże chodnikowe</t>
  </si>
  <si>
    <t>- ustawienie obrzeży betonowych 30x8x100 cm na podsypce cementowo-piaskowej gr. 5 cm</t>
  </si>
  <si>
    <t>SUMA CZĘŚCIOWA</t>
  </si>
  <si>
    <t>m3</t>
  </si>
  <si>
    <t xml:space="preserve"> - ułożenie warstwy ścieralnej z ASC11 gr. 4 cm </t>
  </si>
  <si>
    <t xml:space="preserve"> - ułożenie warstwy wiążącej AC4W gr.2 cm</t>
  </si>
  <si>
    <t xml:space="preserve"> - ułożenie siatki geosyntetycznej SMP 120x120</t>
  </si>
  <si>
    <t>Zakres remontu ulicy obejmuje m.in.: 
- frezowanie  starej nawierzchni warstwy ścieralnej i wykonanie warstwy profilowej, 
- wymianę krawężników drogowych,
- ułożenie geosiatki wzmacniającej nawierzchnię, 
- regulację urządzeń obcych z wymianą pokryw/włazów, 
- wykonanie nowej nawierzchni warstwy ścieralnej,
- wykonanie nowych nawierzchni chodników i zjazdów, 
- odtworzenie oznakowania poziomego,
- humusowanie i obsianie trawą.</t>
  </si>
  <si>
    <t>- tablice informacyjne</t>
  </si>
  <si>
    <t>- nadzór inwestorski</t>
  </si>
  <si>
    <t>Skrzyżowania z ul. Działkową, Piaskową, Polną, Murarską i wjazdem do szpitala: 5 x 6 x 6 = 180</t>
  </si>
  <si>
    <t xml:space="preserve"> - rozebranie nawierzchni jedzni głównej-frezowanie gr. 2-4 cm</t>
  </si>
  <si>
    <t>2</t>
  </si>
  <si>
    <t>5</t>
  </si>
  <si>
    <t>„Modernizacja ulicy Ściegiennego”</t>
  </si>
  <si>
    <t>- rozbiórka nawierzchni z prefabrykowanych elementów betonowych i z masy bitumicznek (chodniki i zjazdy)</t>
  </si>
  <si>
    <t>- korytowanie podłoża pod konstrukcję chodnika na głębokość do 10 cm</t>
  </si>
  <si>
    <t>- skropienie emulsją</t>
  </si>
  <si>
    <t>- wykonanie oznakowania poziomego</t>
  </si>
  <si>
    <t>Jednia Główna od ul. Jagiełły do wjazdu dzo Szpitala: 538 x 6 = 1260</t>
  </si>
  <si>
    <t>Skrzyżowania: --</t>
  </si>
  <si>
    <t>Chodnik stona Prawa: 273 x 2</t>
  </si>
  <si>
    <t>Jednia Główna od ul. Jagiełły do wjazdu dzo Szpitala: 273 x 7</t>
  </si>
  <si>
    <t>Chodnik stona Lewa: 273 x 2</t>
  </si>
  <si>
    <t>Krawężniki : 273x2</t>
  </si>
  <si>
    <t>Zjazdy:20x15</t>
  </si>
  <si>
    <t>Chodnik stona Lewa: 540x 2</t>
  </si>
  <si>
    <t>Krawężniki : 540x2+5x15</t>
  </si>
  <si>
    <t>Zjazdy:21x15</t>
  </si>
  <si>
    <t>Chodnik stona Prawa: 410 x 2</t>
  </si>
  <si>
    <t xml:space="preserve">SUMA </t>
  </si>
  <si>
    <t>jezdnie i chodniki</t>
  </si>
  <si>
    <t>-humusowanie</t>
  </si>
  <si>
    <t>Skrzyżowania z :….......</t>
  </si>
  <si>
    <t xml:space="preserve">Chodnik stona Prawa: 90 x 2 </t>
  </si>
  <si>
    <t>Chodnik stona Lewa: 90 x 2</t>
  </si>
  <si>
    <t>Krawężniki :205x2+166x0,5</t>
  </si>
  <si>
    <t>Zjazdy:14x15</t>
  </si>
  <si>
    <t xml:space="preserve">Jednia Główna:(205+166) x 6 </t>
  </si>
  <si>
    <t>ul. Juliusza Słowackiego Nr 211143G - remont jezdni i chodników z 2 stron, dł. 273mb</t>
  </si>
  <si>
    <t>ul. Dmowskiego Nr 211191G - remont jezdni dł. 369mb i chodników z 2 stron dł. 90 mb</t>
  </si>
  <si>
    <t>ul. Ściegiennego Nr 211198G - remont jezdni dł. 538mb i chodników z 2 stron - lewa str. 580mb, pr. str. 410mb</t>
  </si>
  <si>
    <t>- rozbiórka nawierzchni z prefabrykowanych elementów betonowych i z masy bitumicznej (chodniki i zjazdy)</t>
  </si>
  <si>
    <t>„Budowa chodnika i ścieżki rowerowej przy ul. Krasickiego”</t>
  </si>
  <si>
    <t>„Budowa chodnika ul. Bohaterów Monte Cassino”</t>
  </si>
  <si>
    <t>- rozebranie kostki z istniejących chodników do przełożenia</t>
  </si>
  <si>
    <t>- podbudowa z kruszywa łamanego stabilizowanego mechanicznie gr. 10 cm chodnik</t>
  </si>
  <si>
    <t>- podbudowa z kruszywa łamanego stabilizowanego mechanicznie gr. 10 cm ścieżka</t>
  </si>
  <si>
    <t>- korytowanie podłoża pod konstrukcję ścieżki rowerowej na głębokość do 25 cm</t>
  </si>
  <si>
    <t>- oznakowanie poziome i pionowe</t>
  </si>
  <si>
    <t>kpl</t>
  </si>
  <si>
    <t>- nawierzchnia z z BA gr 5cm ścieżka</t>
  </si>
  <si>
    <t>- nawierzchnia z kostki brukowej betonowej fazowanej koloru szarego gr. 8cm na podsypce cementowo - piaskowej gr. 3cm (zjazdy i separacja)</t>
  </si>
  <si>
    <t>Nawierzchnia z kostki brukowej betonowej i BA</t>
  </si>
  <si>
    <t>- płytki integracyjne</t>
  </si>
  <si>
    <t>drogowa - Krasickiego</t>
  </si>
  <si>
    <t>drogowa - chodnik Parkowa</t>
  </si>
  <si>
    <t>drogowa - chodnik Monte Cassino</t>
  </si>
  <si>
    <t>drzewa</t>
  </si>
  <si>
    <t>- wycinka 2 drzew</t>
  </si>
  <si>
    <t>- przesadzenie drzew</t>
  </si>
  <si>
    <t>ZIELEŃ i INNE</t>
  </si>
  <si>
    <t>- przesunięcie 3 słupów oświetleniowych</t>
  </si>
  <si>
    <t>branża drogowa - jezdnia</t>
  </si>
  <si>
    <t xml:space="preserve">branża drogowa - chodnik </t>
  </si>
  <si>
    <t>„Przebudowa chodnika ul. Parkowej”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</si>
</sst>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Narrow"/>
      <family val="2"/>
      <charset val="238"/>
    </font>
    <font>
      <sz val="10"/>
      <name val="Arial Narrow"/>
      <family val="2"/>
    </font>
    <font>
      <b/>
      <sz val="10"/>
      <name val="Arial Narrow"/>
      <family val="2"/>
    </font>
    <font>
      <sz val="10"/>
      <name val="Arial CE"/>
      <family val="2"/>
      <charset val="238"/>
    </font>
    <font>
      <b/>
      <sz val="14"/>
      <name val="Arial Narrow"/>
      <family val="2"/>
      <charset val="238"/>
    </font>
    <font>
      <sz val="10"/>
      <name val="Arial"/>
      <family val="2"/>
      <charset val="238"/>
    </font>
    <font>
      <sz val="20"/>
      <name val="Arial Narrow"/>
      <family val="2"/>
      <charset val="238"/>
    </font>
    <font>
      <sz val="14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4"/>
      <name val="Arial Narrow"/>
      <family val="2"/>
    </font>
    <font>
      <vertAlign val="superscript"/>
      <sz val="10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vertAlign val="superscript"/>
      <sz val="10"/>
      <name val="Arial Narrow"/>
      <family val="2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indexed="42"/>
        <bgColor indexed="42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7" fillId="0" borderId="0"/>
    <xf numFmtId="0" fontId="9" fillId="0" borderId="0"/>
    <xf numFmtId="9" fontId="9" fillId="0" borderId="0" applyFill="0" applyBorder="0" applyAlignment="0" applyProtection="0"/>
    <xf numFmtId="0" fontId="1" fillId="0" borderId="0"/>
    <xf numFmtId="164" fontId="9" fillId="0" borderId="0" applyFill="0" applyBorder="0" applyAlignment="0" applyProtection="0"/>
    <xf numFmtId="0" fontId="7" fillId="0" borderId="0"/>
  </cellStyleXfs>
  <cellXfs count="139">
    <xf numFmtId="0" fontId="0" fillId="0" borderId="0" xfId="0"/>
    <xf numFmtId="0" fontId="0" fillId="0" borderId="0" xfId="0" applyAlignment="1">
      <alignment wrapText="1"/>
    </xf>
    <xf numFmtId="1" fontId="2" fillId="0" borderId="1" xfId="1" applyNumberFormat="1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1" fontId="2" fillId="0" borderId="4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1" fontId="3" fillId="0" borderId="7" xfId="1" applyNumberFormat="1" applyFont="1" applyBorder="1" applyAlignment="1">
      <alignment horizontal="center" vertical="center"/>
    </xf>
    <xf numFmtId="49" fontId="3" fillId="0" borderId="8" xfId="1" applyNumberFormat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1" fontId="4" fillId="0" borderId="4" xfId="1" applyNumberFormat="1" applyFont="1" applyBorder="1" applyAlignment="1">
      <alignment horizontal="center" vertical="center"/>
    </xf>
    <xf numFmtId="49" fontId="5" fillId="0" borderId="5" xfId="1" applyNumberFormat="1" applyFont="1" applyBorder="1" applyAlignment="1">
      <alignment horizontal="left" vertical="center" wrapText="1"/>
    </xf>
    <xf numFmtId="0" fontId="4" fillId="0" borderId="5" xfId="1" applyFont="1" applyBorder="1" applyAlignment="1">
      <alignment horizontal="center" vertical="center"/>
    </xf>
    <xf numFmtId="4" fontId="5" fillId="0" borderId="5" xfId="1" applyNumberFormat="1" applyFont="1" applyBorder="1" applyAlignment="1">
      <alignment horizontal="center" vertical="center"/>
    </xf>
    <xf numFmtId="4" fontId="4" fillId="0" borderId="5" xfId="1" applyNumberFormat="1" applyFont="1" applyBorder="1" applyAlignment="1">
      <alignment horizontal="right" vertical="center" indent="1"/>
    </xf>
    <xf numFmtId="4" fontId="5" fillId="0" borderId="6" xfId="1" applyNumberFormat="1" applyFont="1" applyBorder="1" applyAlignment="1">
      <alignment horizontal="right" vertical="center" indent="1"/>
    </xf>
    <xf numFmtId="4" fontId="2" fillId="0" borderId="6" xfId="1" applyNumberFormat="1" applyFont="1" applyBorder="1" applyAlignment="1">
      <alignment horizontal="right" indent="1"/>
    </xf>
    <xf numFmtId="4" fontId="2" fillId="0" borderId="9" xfId="1" applyNumberFormat="1" applyFont="1" applyBorder="1" applyAlignment="1">
      <alignment horizontal="right" indent="1"/>
    </xf>
    <xf numFmtId="0" fontId="8" fillId="0" borderId="12" xfId="2" applyFont="1" applyBorder="1" applyAlignment="1">
      <alignment horizontal="centerContinuous"/>
    </xf>
    <xf numFmtId="0" fontId="8" fillId="0" borderId="13" xfId="2" applyFont="1" applyBorder="1" applyAlignment="1">
      <alignment horizontal="centerContinuous"/>
    </xf>
    <xf numFmtId="0" fontId="8" fillId="0" borderId="14" xfId="2" applyFont="1" applyBorder="1" applyAlignment="1">
      <alignment horizontal="centerContinuous"/>
    </xf>
    <xf numFmtId="0" fontId="10" fillId="0" borderId="15" xfId="2" applyFont="1" applyBorder="1" applyAlignment="1">
      <alignment horizontal="centerContinuous" wrapText="1"/>
    </xf>
    <xf numFmtId="0" fontId="11" fillId="0" borderId="0" xfId="2" applyFont="1" applyAlignment="1">
      <alignment horizontal="centerContinuous" wrapText="1"/>
    </xf>
    <xf numFmtId="0" fontId="11" fillId="0" borderId="16" xfId="2" applyFont="1" applyBorder="1" applyAlignment="1">
      <alignment horizontal="centerContinuous" wrapText="1"/>
    </xf>
    <xf numFmtId="1" fontId="4" fillId="3" borderId="4" xfId="1" applyNumberFormat="1" applyFont="1" applyFill="1" applyBorder="1" applyAlignment="1">
      <alignment horizontal="center" vertical="center"/>
    </xf>
    <xf numFmtId="49" fontId="2" fillId="3" borderId="5" xfId="1" applyNumberFormat="1" applyFont="1" applyFill="1" applyBorder="1" applyAlignment="1">
      <alignment horizontal="left" vertical="center" wrapText="1"/>
    </xf>
    <xf numFmtId="0" fontId="2" fillId="3" borderId="5" xfId="1" applyFont="1" applyFill="1" applyBorder="1" applyAlignment="1">
      <alignment horizontal="center" vertical="center"/>
    </xf>
    <xf numFmtId="2" fontId="5" fillId="3" borderId="5" xfId="1" applyNumberFormat="1" applyFont="1" applyFill="1" applyBorder="1" applyAlignment="1">
      <alignment horizontal="center" vertical="center"/>
    </xf>
    <xf numFmtId="2" fontId="13" fillId="3" borderId="5" xfId="1" applyNumberFormat="1" applyFont="1" applyFill="1" applyBorder="1" applyAlignment="1">
      <alignment horizontal="right" vertical="center"/>
    </xf>
    <xf numFmtId="2" fontId="5" fillId="3" borderId="6" xfId="1" applyNumberFormat="1" applyFont="1" applyFill="1" applyBorder="1" applyAlignment="1">
      <alignment horizontal="right" vertical="center"/>
    </xf>
    <xf numFmtId="49" fontId="2" fillId="4" borderId="4" xfId="1" applyNumberFormat="1" applyFont="1" applyFill="1" applyBorder="1" applyAlignment="1">
      <alignment horizontal="center" vertical="center" wrapText="1"/>
    </xf>
    <xf numFmtId="49" fontId="2" fillId="4" borderId="5" xfId="1" applyNumberFormat="1" applyFont="1" applyFill="1" applyBorder="1" applyAlignment="1">
      <alignment horizontal="left" vertical="center" wrapText="1"/>
    </xf>
    <xf numFmtId="0" fontId="15" fillId="4" borderId="5" xfId="1" applyFont="1" applyFill="1" applyBorder="1" applyAlignment="1">
      <alignment horizontal="center" vertical="center"/>
    </xf>
    <xf numFmtId="2" fontId="15" fillId="4" borderId="5" xfId="1" applyNumberFormat="1" applyFont="1" applyFill="1" applyBorder="1" applyAlignment="1">
      <alignment horizontal="center" vertical="center"/>
    </xf>
    <xf numFmtId="2" fontId="15" fillId="4" borderId="6" xfId="1" applyNumberFormat="1" applyFont="1" applyFill="1" applyBorder="1" applyAlignment="1">
      <alignment horizontal="center" vertical="center"/>
    </xf>
    <xf numFmtId="4" fontId="5" fillId="3" borderId="5" xfId="1" applyNumberFormat="1" applyFont="1" applyFill="1" applyBorder="1" applyAlignment="1">
      <alignment horizontal="center" vertical="center"/>
    </xf>
    <xf numFmtId="4" fontId="4" fillId="3" borderId="5" xfId="1" applyNumberFormat="1" applyFont="1" applyFill="1" applyBorder="1" applyAlignment="1">
      <alignment horizontal="center" vertical="center"/>
    </xf>
    <xf numFmtId="4" fontId="5" fillId="3" borderId="6" xfId="1" applyNumberFormat="1" applyFont="1" applyFill="1" applyBorder="1" applyAlignment="1">
      <alignment horizontal="center" vertical="center"/>
    </xf>
    <xf numFmtId="49" fontId="5" fillId="0" borderId="5" xfId="5" applyNumberFormat="1" applyFont="1" applyBorder="1" applyAlignment="1">
      <alignment horizontal="left" vertical="center" wrapText="1"/>
    </xf>
    <xf numFmtId="1" fontId="4" fillId="4" borderId="4" xfId="1" applyNumberFormat="1" applyFont="1" applyFill="1" applyBorder="1" applyAlignment="1">
      <alignment horizontal="center" vertical="center"/>
    </xf>
    <xf numFmtId="2" fontId="16" fillId="4" borderId="5" xfId="1" applyNumberFormat="1" applyFont="1" applyFill="1" applyBorder="1" applyAlignment="1">
      <alignment horizontal="center" vertical="center"/>
    </xf>
    <xf numFmtId="2" fontId="14" fillId="4" borderId="5" xfId="1" applyNumberFormat="1" applyFont="1" applyFill="1" applyBorder="1" applyAlignment="1">
      <alignment horizontal="center" vertical="center"/>
    </xf>
    <xf numFmtId="2" fontId="16" fillId="4" borderId="6" xfId="1" applyNumberFormat="1" applyFont="1" applyFill="1" applyBorder="1" applyAlignment="1">
      <alignment horizontal="center" vertical="center"/>
    </xf>
    <xf numFmtId="4" fontId="5" fillId="3" borderId="5" xfId="1" applyNumberFormat="1" applyFont="1" applyFill="1" applyBorder="1" applyAlignment="1">
      <alignment horizontal="right" vertical="center"/>
    </xf>
    <xf numFmtId="4" fontId="4" fillId="3" borderId="5" xfId="1" applyNumberFormat="1" applyFont="1" applyFill="1" applyBorder="1" applyAlignment="1">
      <alignment horizontal="right" vertical="center"/>
    </xf>
    <xf numFmtId="4" fontId="5" fillId="3" borderId="6" xfId="1" applyNumberFormat="1" applyFont="1" applyFill="1" applyBorder="1" applyAlignment="1">
      <alignment horizontal="right" vertical="center"/>
    </xf>
    <xf numFmtId="164" fontId="9" fillId="3" borderId="5" xfId="6" applyFill="1" applyBorder="1" applyAlignment="1">
      <alignment horizontal="center" vertical="center"/>
    </xf>
    <xf numFmtId="4" fontId="9" fillId="3" borderId="5" xfId="6" applyNumberFormat="1" applyFill="1" applyBorder="1" applyAlignment="1">
      <alignment horizontal="right" vertical="center"/>
    </xf>
    <xf numFmtId="4" fontId="9" fillId="3" borderId="6" xfId="6" applyNumberFormat="1" applyFill="1" applyBorder="1" applyAlignment="1">
      <alignment horizontal="right" vertical="center"/>
    </xf>
    <xf numFmtId="0" fontId="15" fillId="3" borderId="5" xfId="1" applyFont="1" applyFill="1" applyBorder="1" applyAlignment="1">
      <alignment horizontal="center" vertical="center"/>
    </xf>
    <xf numFmtId="2" fontId="16" fillId="3" borderId="5" xfId="1" applyNumberFormat="1" applyFont="1" applyFill="1" applyBorder="1" applyAlignment="1">
      <alignment horizontal="center" vertical="center"/>
    </xf>
    <xf numFmtId="2" fontId="14" fillId="3" borderId="5" xfId="1" applyNumberFormat="1" applyFont="1" applyFill="1" applyBorder="1" applyAlignment="1">
      <alignment horizontal="center" vertical="center"/>
    </xf>
    <xf numFmtId="2" fontId="16" fillId="3" borderId="6" xfId="1" applyNumberFormat="1" applyFont="1" applyFill="1" applyBorder="1" applyAlignment="1">
      <alignment horizontal="center" vertical="center"/>
    </xf>
    <xf numFmtId="4" fontId="16" fillId="3" borderId="5" xfId="1" applyNumberFormat="1" applyFont="1" applyFill="1" applyBorder="1" applyAlignment="1">
      <alignment horizontal="center" vertical="center"/>
    </xf>
    <xf numFmtId="4" fontId="14" fillId="3" borderId="5" xfId="1" applyNumberFormat="1" applyFont="1" applyFill="1" applyBorder="1" applyAlignment="1">
      <alignment horizontal="right" vertical="center"/>
    </xf>
    <xf numFmtId="4" fontId="16" fillId="3" borderId="6" xfId="1" applyNumberFormat="1" applyFont="1" applyFill="1" applyBorder="1" applyAlignment="1">
      <alignment horizontal="right" vertical="center"/>
    </xf>
    <xf numFmtId="1" fontId="4" fillId="0" borderId="20" xfId="1" applyNumberFormat="1" applyFont="1" applyBorder="1" applyAlignment="1">
      <alignment vertical="center"/>
    </xf>
    <xf numFmtId="1" fontId="4" fillId="0" borderId="21" xfId="1" applyNumberFormat="1" applyFont="1" applyBorder="1" applyAlignment="1">
      <alignment vertical="center"/>
    </xf>
    <xf numFmtId="49" fontId="6" fillId="0" borderId="21" xfId="1" applyNumberFormat="1" applyFont="1" applyBorder="1" applyAlignment="1">
      <alignment vertical="center" wrapText="1"/>
    </xf>
    <xf numFmtId="49" fontId="6" fillId="0" borderId="21" xfId="1" applyNumberFormat="1" applyFont="1" applyBorder="1" applyAlignment="1">
      <alignment horizontal="right" vertical="center"/>
    </xf>
    <xf numFmtId="4" fontId="6" fillId="0" borderId="22" xfId="1" applyNumberFormat="1" applyFont="1" applyBorder="1" applyAlignment="1">
      <alignment horizontal="right" vertical="center" wrapText="1" indent="1"/>
    </xf>
    <xf numFmtId="0" fontId="7" fillId="0" borderId="0" xfId="1" applyFont="1"/>
    <xf numFmtId="4" fontId="2" fillId="0" borderId="3" xfId="1" applyNumberFormat="1" applyFont="1" applyBorder="1" applyAlignment="1">
      <alignment horizontal="right" indent="1"/>
    </xf>
    <xf numFmtId="0" fontId="2" fillId="0" borderId="2" xfId="1" applyFont="1" applyBorder="1" applyAlignment="1">
      <alignment horizontal="left" vertical="center"/>
    </xf>
    <xf numFmtId="0" fontId="0" fillId="0" borderId="0" xfId="0" applyAlignment="1">
      <alignment vertical="top"/>
    </xf>
    <xf numFmtId="1" fontId="2" fillId="0" borderId="30" xfId="1" applyNumberFormat="1" applyFont="1" applyBorder="1" applyAlignment="1">
      <alignment horizontal="center" vertical="center"/>
    </xf>
    <xf numFmtId="49" fontId="2" fillId="0" borderId="31" xfId="1" applyNumberFormat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/>
    </xf>
    <xf numFmtId="0" fontId="2" fillId="0" borderId="32" xfId="1" applyFont="1" applyBorder="1" applyAlignment="1">
      <alignment horizontal="center" vertical="center" wrapText="1"/>
    </xf>
    <xf numFmtId="2" fontId="2" fillId="0" borderId="31" xfId="1" applyNumberFormat="1" applyFont="1" applyBorder="1" applyAlignment="1">
      <alignment horizontal="center" vertical="center"/>
    </xf>
    <xf numFmtId="4" fontId="2" fillId="0" borderId="26" xfId="1" applyNumberFormat="1" applyFont="1" applyBorder="1" applyAlignment="1">
      <alignment horizontal="right" indent="1"/>
    </xf>
    <xf numFmtId="4" fontId="2" fillId="0" borderId="27" xfId="1" applyNumberFormat="1" applyFont="1" applyBorder="1" applyAlignment="1">
      <alignment horizontal="right" indent="1"/>
    </xf>
    <xf numFmtId="4" fontId="2" fillId="0" borderId="29" xfId="1" applyNumberFormat="1" applyFont="1" applyBorder="1" applyAlignment="1">
      <alignment horizontal="right" indent="1"/>
    </xf>
    <xf numFmtId="1" fontId="4" fillId="0" borderId="38" xfId="1" applyNumberFormat="1" applyFont="1" applyBorder="1" applyAlignment="1">
      <alignment horizontal="center" vertical="center"/>
    </xf>
    <xf numFmtId="1" fontId="4" fillId="0" borderId="39" xfId="1" applyNumberFormat="1" applyFont="1" applyBorder="1" applyAlignment="1">
      <alignment horizontal="center" vertical="center"/>
    </xf>
    <xf numFmtId="1" fontId="4" fillId="0" borderId="40" xfId="1" applyNumberFormat="1" applyFont="1" applyBorder="1" applyAlignment="1">
      <alignment horizontal="center" vertical="center"/>
    </xf>
    <xf numFmtId="1" fontId="3" fillId="0" borderId="41" xfId="1" applyNumberFormat="1" applyFont="1" applyBorder="1" applyAlignment="1">
      <alignment horizontal="center" vertical="center"/>
    </xf>
    <xf numFmtId="0" fontId="3" fillId="0" borderId="42" xfId="1" applyFont="1" applyBorder="1" applyAlignment="1">
      <alignment horizontal="center" vertical="center"/>
    </xf>
    <xf numFmtId="0" fontId="3" fillId="0" borderId="43" xfId="1" applyFont="1" applyBorder="1" applyAlignment="1">
      <alignment horizontal="center" vertical="center"/>
    </xf>
    <xf numFmtId="49" fontId="3" fillId="0" borderId="24" xfId="1" applyNumberFormat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49" fontId="5" fillId="0" borderId="44" xfId="1" applyNumberFormat="1" applyFont="1" applyBorder="1" applyAlignment="1">
      <alignment horizontal="left" vertical="center" wrapText="1"/>
    </xf>
    <xf numFmtId="49" fontId="5" fillId="0" borderId="45" xfId="1" applyNumberFormat="1" applyFont="1" applyBorder="1" applyAlignment="1">
      <alignment horizontal="left" vertical="center" wrapText="1"/>
    </xf>
    <xf numFmtId="49" fontId="5" fillId="0" borderId="46" xfId="1" applyNumberFormat="1" applyFont="1" applyBorder="1" applyAlignment="1">
      <alignment horizontal="left" vertical="center" wrapText="1"/>
    </xf>
    <xf numFmtId="4" fontId="5" fillId="0" borderId="44" xfId="1" applyNumberFormat="1" applyFont="1" applyBorder="1" applyAlignment="1">
      <alignment horizontal="center" vertical="center"/>
    </xf>
    <xf numFmtId="4" fontId="5" fillId="0" borderId="45" xfId="1" applyNumberFormat="1" applyFont="1" applyBorder="1" applyAlignment="1">
      <alignment horizontal="center" vertical="center"/>
    </xf>
    <xf numFmtId="4" fontId="5" fillId="0" borderId="46" xfId="1" applyNumberFormat="1" applyFont="1" applyBorder="1" applyAlignment="1">
      <alignment horizontal="center" vertical="center"/>
    </xf>
    <xf numFmtId="4" fontId="5" fillId="0" borderId="47" xfId="1" applyNumberFormat="1" applyFont="1" applyBorder="1" applyAlignment="1">
      <alignment horizontal="right" vertical="center" indent="1"/>
    </xf>
    <xf numFmtId="4" fontId="5" fillId="0" borderId="48" xfId="1" applyNumberFormat="1" applyFont="1" applyBorder="1" applyAlignment="1">
      <alignment horizontal="right" vertical="center" indent="1"/>
    </xf>
    <xf numFmtId="4" fontId="5" fillId="0" borderId="49" xfId="1" applyNumberFormat="1" applyFont="1" applyBorder="1" applyAlignment="1">
      <alignment horizontal="right" vertical="center" indent="1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4" fontId="4" fillId="0" borderId="50" xfId="1" applyNumberFormat="1" applyFont="1" applyBorder="1" applyAlignment="1">
      <alignment horizontal="right" vertical="center" indent="1"/>
    </xf>
    <xf numFmtId="4" fontId="4" fillId="0" borderId="51" xfId="1" applyNumberFormat="1" applyFont="1" applyBorder="1" applyAlignment="1">
      <alignment horizontal="right" vertical="center" indent="1"/>
    </xf>
    <xf numFmtId="4" fontId="4" fillId="0" borderId="52" xfId="1" applyNumberFormat="1" applyFont="1" applyBorder="1" applyAlignment="1">
      <alignment horizontal="right" vertical="center" indent="1"/>
    </xf>
    <xf numFmtId="1" fontId="2" fillId="0" borderId="41" xfId="1" applyNumberFormat="1" applyFont="1" applyBorder="1" applyAlignment="1">
      <alignment horizontal="center" vertical="center"/>
    </xf>
    <xf numFmtId="0" fontId="2" fillId="0" borderId="42" xfId="1" applyFont="1" applyBorder="1" applyAlignment="1">
      <alignment horizontal="center" vertical="center"/>
    </xf>
    <xf numFmtId="0" fontId="2" fillId="0" borderId="43" xfId="1" applyFont="1" applyBorder="1" applyAlignment="1">
      <alignment horizontal="center" vertical="center" wrapText="1"/>
    </xf>
    <xf numFmtId="49" fontId="2" fillId="0" borderId="24" xfId="1" applyNumberFormat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/>
    </xf>
    <xf numFmtId="164" fontId="9" fillId="3" borderId="4" xfId="6" applyFill="1" applyBorder="1" applyAlignment="1">
      <alignment horizontal="center" vertical="center"/>
    </xf>
    <xf numFmtId="0" fontId="18" fillId="0" borderId="0" xfId="0" applyFont="1"/>
    <xf numFmtId="0" fontId="19" fillId="5" borderId="41" xfId="0" applyFont="1" applyFill="1" applyBorder="1"/>
    <xf numFmtId="0" fontId="19" fillId="5" borderId="42" xfId="0" applyFont="1" applyFill="1" applyBorder="1" applyAlignment="1">
      <alignment wrapText="1"/>
    </xf>
    <xf numFmtId="4" fontId="19" fillId="5" borderId="43" xfId="0" applyNumberFormat="1" applyFont="1" applyFill="1" applyBorder="1"/>
    <xf numFmtId="0" fontId="0" fillId="0" borderId="0" xfId="0" applyAlignment="1">
      <alignment horizontal="left" vertical="top" wrapText="1"/>
    </xf>
    <xf numFmtId="0" fontId="21" fillId="0" borderId="0" xfId="0" applyFont="1" applyAlignment="1">
      <alignment horizontal="center" wrapText="1"/>
    </xf>
    <xf numFmtId="0" fontId="21" fillId="0" borderId="53" xfId="0" applyFont="1" applyBorder="1" applyAlignment="1">
      <alignment horizontal="center" wrapText="1"/>
    </xf>
    <xf numFmtId="0" fontId="6" fillId="0" borderId="33" xfId="1" applyFont="1" applyBorder="1" applyAlignment="1">
      <alignment horizontal="right"/>
    </xf>
    <xf numFmtId="0" fontId="6" fillId="0" borderId="25" xfId="1" applyFont="1" applyBorder="1" applyAlignment="1">
      <alignment horizontal="right"/>
    </xf>
    <xf numFmtId="0" fontId="6" fillId="0" borderId="34" xfId="1" applyFont="1" applyBorder="1" applyAlignment="1">
      <alignment horizontal="right"/>
    </xf>
    <xf numFmtId="49" fontId="6" fillId="0" borderId="35" xfId="1" applyNumberFormat="1" applyFont="1" applyBorder="1" applyAlignment="1">
      <alignment horizontal="right" vertical="center"/>
    </xf>
    <xf numFmtId="49" fontId="6" fillId="0" borderId="5" xfId="1" applyNumberFormat="1" applyFont="1" applyBorder="1" applyAlignment="1">
      <alignment horizontal="right" vertical="center"/>
    </xf>
    <xf numFmtId="49" fontId="6" fillId="0" borderId="10" xfId="1" applyNumberFormat="1" applyFont="1" applyBorder="1" applyAlignment="1">
      <alignment horizontal="right" vertical="center"/>
    </xf>
    <xf numFmtId="49" fontId="6" fillId="0" borderId="36" xfId="1" applyNumberFormat="1" applyFont="1" applyBorder="1" applyAlignment="1">
      <alignment horizontal="right" vertical="center"/>
    </xf>
    <xf numFmtId="49" fontId="6" fillId="0" borderId="28" xfId="1" applyNumberFormat="1" applyFont="1" applyBorder="1" applyAlignment="1">
      <alignment horizontal="right" vertical="center"/>
    </xf>
    <xf numFmtId="49" fontId="6" fillId="0" borderId="37" xfId="1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0" fillId="0" borderId="41" xfId="0" applyFont="1" applyBorder="1" applyAlignment="1">
      <alignment horizontal="center" wrapText="1"/>
    </xf>
    <xf numFmtId="0" fontId="20" fillId="0" borderId="42" xfId="0" applyFont="1" applyBorder="1" applyAlignment="1">
      <alignment horizontal="center" wrapText="1"/>
    </xf>
    <xf numFmtId="0" fontId="20" fillId="0" borderId="43" xfId="0" applyFont="1" applyBorder="1" applyAlignment="1">
      <alignment horizontal="center" wrapText="1"/>
    </xf>
    <xf numFmtId="49" fontId="2" fillId="0" borderId="42" xfId="1" applyNumberFormat="1" applyFont="1" applyBorder="1" applyAlignment="1">
      <alignment horizontal="center" vertical="center" wrapText="1"/>
    </xf>
    <xf numFmtId="1" fontId="12" fillId="2" borderId="17" xfId="1" applyNumberFormat="1" applyFont="1" applyFill="1" applyBorder="1" applyAlignment="1">
      <alignment horizontal="center" vertical="center"/>
    </xf>
    <xf numFmtId="1" fontId="12" fillId="2" borderId="18" xfId="1" applyNumberFormat="1" applyFont="1" applyFill="1" applyBorder="1" applyAlignment="1">
      <alignment horizontal="center" vertical="center"/>
    </xf>
    <xf numFmtId="1" fontId="12" fillId="2" borderId="19" xfId="1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right"/>
    </xf>
    <xf numFmtId="0" fontId="6" fillId="0" borderId="2" xfId="1" applyFont="1" applyBorder="1" applyAlignment="1">
      <alignment horizontal="right"/>
    </xf>
    <xf numFmtId="0" fontId="6" fillId="0" borderId="23" xfId="1" applyFont="1" applyBorder="1" applyAlignment="1">
      <alignment horizontal="right"/>
    </xf>
    <xf numFmtId="49" fontId="6" fillId="0" borderId="4" xfId="1" applyNumberFormat="1" applyFont="1" applyBorder="1" applyAlignment="1">
      <alignment horizontal="right" vertical="center"/>
    </xf>
    <xf numFmtId="49" fontId="6" fillId="0" borderId="7" xfId="1" applyNumberFormat="1" applyFont="1" applyBorder="1" applyAlignment="1">
      <alignment horizontal="right" vertical="center"/>
    </xf>
    <xf numFmtId="49" fontId="6" fillId="0" borderId="8" xfId="1" applyNumberFormat="1" applyFont="1" applyBorder="1" applyAlignment="1">
      <alignment horizontal="right" vertical="center"/>
    </xf>
    <xf numFmtId="49" fontId="6" fillId="0" borderId="11" xfId="1" applyNumberFormat="1" applyFont="1" applyBorder="1" applyAlignment="1">
      <alignment horizontal="right" vertical="center"/>
    </xf>
    <xf numFmtId="0" fontId="0" fillId="0" borderId="0" xfId="0" applyAlignment="1">
      <alignment horizontal="center"/>
    </xf>
  </cellXfs>
  <cellStyles count="8">
    <cellStyle name="Dziesiętny 2" xfId="6" xr:uid="{00000000-0005-0000-0000-000000000000}"/>
    <cellStyle name="Normalny" xfId="0" builtinId="0"/>
    <cellStyle name="Normalny 15" xfId="1" xr:uid="{00000000-0005-0000-0000-000002000000}"/>
    <cellStyle name="Normalny 2 4" xfId="3" xr:uid="{00000000-0005-0000-0000-000003000000}"/>
    <cellStyle name="Normalny 4 2" xfId="7" xr:uid="{00000000-0005-0000-0000-000004000000}"/>
    <cellStyle name="Normalny_DK 15" xfId="2" xr:uid="{00000000-0005-0000-0000-000005000000}"/>
    <cellStyle name="Normalny_DK 63" xfId="5" xr:uid="{00000000-0005-0000-0000-000006000000}"/>
    <cellStyle name="Procentowy 5" xfId="4" xr:uid="{00000000-0005-0000-0000-000007000000}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T\ZBRO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yszkiewicz\PROJEKTY\DOCUME~1\PBRZUC~1\LOCALS~1\Temp\notes9A9E92\$zalozenia\XLS\zamiana%20kwoty%20na%20tekst\S&#322;ownie_bez_VB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PRZETARGI/UG/TUCHOLA/Ma&#322;a%20Komorza-D&#261;br&#243;wka/1.materia&#322;y%20do%20oferty/MA&#321;A%20KOMORZA%20-%20D&#260;BR&#211;WKA%20-%20kosztorys%202016-05-23%20POAN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ystryA/Ustawienia%20lokalne/Temporary%20Internet%20Files/OLK33/KOSZTORYSY%20OFERTOWE/CZESC%20D%20-%20Roboty%20branzowe/BRAN&#379;E%20kosztorysy%20-%20wersje%20elektroniczne/Chojnice-ofertowy-telekomunikacja(D9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PRZETARGI/UG/GRUDZI&#260;DZ/Wielkie%20Lniska/Za&#322;&#261;cznik%2011%20-%20Dokumentacja/WIELKIE%20LNISKA%20-%20kosztorys%20ofertowy%202016-05-23%20POA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PRZETARGI/PZD/Dworcowa%20w%20Czarnej%20Wodzie/1.materia&#322;y%20do%20oferty/PZD%20CZARNA%20WODA%20-%20kosztorys%202016-05-22%20K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PRZETARGI/PZD/Lichn&#243;wki/materia&#322;y%20do%20oferty/PZD%20MALBORK%20-%20Kosztorysy_ca&#322;o&#347;&#263;%202016-05-17%20PO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PRZETARGI/ZDW%20GDA&#323;SK/rozbudowa%20DW%20222%20Gda&#324;sk-%20Starogard%20Gda&#324;ski/KOSZTORYSY%20i%20przedmiary/DW%20222%20-%20odc%20A-F%20zestawienie%20kosztorys&#243;w%202016-06-03%20POA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PRZETARGI/GDDKiA/DK%2055%20Sztum/1.materia&#322;y%20do%20oferty/DK%2055%20SZTUM%20-%20kosztorysy%20ofertowe%202016-06-13%20POA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mil/AppData/Local/Microsoft/Windows/INetCache/Content.Outlook/QIGEX9YO/NOWOWIEJSKA%20-%20bud&#380;et%202016-07-08%20POAN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szablon%20-%20koszt%20v.%20AP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PRZETARGI/GDDKiA/GDA&#323;SK/DK%2055%20Sztum/1.materia&#322;y%20do%20oferty/DK%2055%20SZTUM%20-%20kosztorysy%20ofertowe%202016-06-13%20POAN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ANDY%20S/DW%20212%20CHOJNICE%20-%20FA&#321;KOWSKI/DW212%20CHOJNICE%20kosztorys%20ofertowy%20PR&#211;WNANIE%20PDW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PRZETARGI/ZDW%20GDA&#323;SK/rozbudowa%20DW%20222%20Gda&#324;sk-%20Starogard%20Gda&#324;ski/KOSZTORYSY%20i%20przedmiary/BUD&#379;ETY/DW%20222%20-%20Odc.%20D%20-%20bud&#380;et%202016-06-29%20PO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ys6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kusz1"/>
      <sheetName val="Konwersja"/>
      <sheetName val="Formuły z &quot;Konwersja&quot;"/>
      <sheetName val="Nazwy w &quot;Konwersja&quot;"/>
    </sheetNames>
    <sheetDataSet>
      <sheetData sheetId="0"/>
      <sheetData sheetId="1">
        <row r="8">
          <cell r="K8" t="str">
            <v>jedenaście milionów sto siedemdziesiąt osiem tysięcy pięćset czterdzieści dwa zł</v>
          </cell>
        </row>
        <row r="10">
          <cell r="K10" t="str">
            <v>siedemdziesiąt sześć gr.</v>
          </cell>
        </row>
      </sheetData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IENIE MAS"/>
      <sheetName val="KOSZTORYS OFERTOWY"/>
    </sheetNames>
    <sheetDataSet>
      <sheetData sheetId="0" refreshError="1"/>
      <sheetData sheetId="1">
        <row r="4">
          <cell r="H4">
            <v>1</v>
          </cell>
        </row>
        <row r="5">
          <cell r="H5">
            <v>1</v>
          </cell>
        </row>
        <row r="58">
          <cell r="H58">
            <v>280817.25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3 SUMA"/>
      <sheetName val="B3-1"/>
      <sheetName val="B3-2"/>
      <sheetName val="B3-3"/>
      <sheetName val="B3-5"/>
      <sheetName val="B3-4"/>
      <sheetName val="B3-6"/>
      <sheetName val="B3-7"/>
      <sheetName val="B3-8"/>
      <sheetName val="B3-9"/>
      <sheetName val="B3-10"/>
      <sheetName val="B3-11"/>
      <sheetName val="B3-12"/>
      <sheetName val="B3-13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IENIE MAS"/>
      <sheetName val="KOSZTORYS OFERTOWY"/>
      <sheetName val="Arkusz2"/>
    </sheetNames>
    <sheetDataSet>
      <sheetData sheetId="0"/>
      <sheetData sheetId="1">
        <row r="4">
          <cell r="S4">
            <v>18.25</v>
          </cell>
        </row>
        <row r="89">
          <cell r="I89">
            <v>607657.88</v>
          </cell>
        </row>
      </sheetData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IENIE MAS"/>
      <sheetName val="cennik"/>
      <sheetName val="ZZK"/>
      <sheetName val="drogowe"/>
      <sheetName val="przepust"/>
      <sheetName val="przepust - wg Z"/>
      <sheetName val="UWAGI"/>
      <sheetName val="budżet"/>
    </sheetNames>
    <sheetDataSet>
      <sheetData sheetId="0">
        <row r="10">
          <cell r="M10">
            <v>31.6</v>
          </cell>
        </row>
      </sheetData>
      <sheetData sheetId="1">
        <row r="5">
          <cell r="C5">
            <v>127.21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 zrobić "/>
      <sheetName val="cennik"/>
      <sheetName val="ZESTAWIENIE MAS"/>
      <sheetName val="ZZK"/>
      <sheetName val="L1 most Lichnówki"/>
      <sheetName val="L2 chodnik Lisewo"/>
      <sheetName val="L3 Lichnowy - Tralewo"/>
      <sheetName val="L4 Lichnowy - Gnojewo"/>
      <sheetName val="M1 DK22 - Cisy"/>
      <sheetName val="M2 Tragamin - Świerki"/>
      <sheetName val="M3 Kamionka - Szawałd"/>
      <sheetName val="S1 DK22 - Królewo"/>
      <sheetName val="S2 etap II Parwark"/>
      <sheetName val="S2 etap I Parwark"/>
    </sheetNames>
    <sheetDataSet>
      <sheetData sheetId="0" refreshError="1"/>
      <sheetData sheetId="1" refreshError="1"/>
      <sheetData sheetId="2" refreshError="1">
        <row r="3">
          <cell r="M3">
            <v>6000</v>
          </cell>
        </row>
      </sheetData>
      <sheetData sheetId="3" refreshError="1">
        <row r="2">
          <cell r="E2">
            <v>1.0345</v>
          </cell>
        </row>
        <row r="15">
          <cell r="E15">
            <v>4103632.3199999994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7">
          <cell r="W57">
            <v>40.049999999999997</v>
          </cell>
        </row>
      </sheetData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IENIE"/>
      <sheetName val="wykaz ofert PW"/>
      <sheetName val="odc. A"/>
      <sheetName val="od. B"/>
      <sheetName val="odc. C"/>
      <sheetName val="odc. D"/>
      <sheetName val="odc. E"/>
      <sheetName val="odc. F"/>
      <sheetName val="lista wyboru"/>
      <sheetName val="wykaz PW"/>
    </sheetNames>
    <sheetDataSet>
      <sheetData sheetId="0" refreshError="1">
        <row r="1">
          <cell r="F1">
            <v>42551</v>
          </cell>
        </row>
        <row r="12">
          <cell r="H12">
            <v>4955301.12</v>
          </cell>
        </row>
      </sheetData>
      <sheetData sheetId="1" refreshError="1"/>
      <sheetData sheetId="2" refreshError="1">
        <row r="1">
          <cell r="O1">
            <v>2.4</v>
          </cell>
          <cell r="Q1">
            <v>1.85</v>
          </cell>
        </row>
        <row r="2">
          <cell r="Q2">
            <v>2</v>
          </cell>
          <cell r="AZ2">
            <v>1.1499999999999999</v>
          </cell>
        </row>
        <row r="3">
          <cell r="Q3">
            <v>2.15</v>
          </cell>
        </row>
        <row r="312">
          <cell r="G312">
            <v>418162.93</v>
          </cell>
        </row>
      </sheetData>
      <sheetData sheetId="3" refreshError="1">
        <row r="3">
          <cell r="I3">
            <v>1.1000000000000001</v>
          </cell>
        </row>
        <row r="4">
          <cell r="I4">
            <v>1.05</v>
          </cell>
        </row>
        <row r="363">
          <cell r="G363">
            <v>1339090.6000000001</v>
          </cell>
        </row>
      </sheetData>
      <sheetData sheetId="4" refreshError="1">
        <row r="273">
          <cell r="G273">
            <v>391660.39</v>
          </cell>
          <cell r="I273">
            <v>356766.45</v>
          </cell>
        </row>
      </sheetData>
      <sheetData sheetId="5" refreshError="1"/>
      <sheetData sheetId="6" refreshError="1">
        <row r="5">
          <cell r="J5">
            <v>1.1000000000000001</v>
          </cell>
        </row>
        <row r="6">
          <cell r="J6">
            <v>1.05</v>
          </cell>
        </row>
        <row r="213">
          <cell r="J213">
            <v>1050912.05</v>
          </cell>
        </row>
      </sheetData>
      <sheetData sheetId="7" refreshError="1">
        <row r="17">
          <cell r="I17">
            <v>1.1000000000000001</v>
          </cell>
        </row>
        <row r="18">
          <cell r="I18">
            <v>1.05</v>
          </cell>
        </row>
        <row r="110">
          <cell r="I110">
            <v>13379.59</v>
          </cell>
        </row>
      </sheetData>
      <sheetData sheetId="8" refreshError="1">
        <row r="3">
          <cell r="A3" t="str">
            <v>Beata</v>
          </cell>
        </row>
        <row r="4">
          <cell r="A4" t="str">
            <v>Irena</v>
          </cell>
        </row>
        <row r="5">
          <cell r="A5" t="str">
            <v>Iza</v>
          </cell>
        </row>
        <row r="6">
          <cell r="A6" t="str">
            <v>Kasia</v>
          </cell>
        </row>
        <row r="7">
          <cell r="A7" t="str">
            <v>Andrzej</v>
          </cell>
        </row>
        <row r="8">
          <cell r="A8" t="str">
            <v>Artur</v>
          </cell>
        </row>
        <row r="9">
          <cell r="A9" t="str">
            <v>Kamil</v>
          </cell>
        </row>
        <row r="10">
          <cell r="A10" t="str">
            <v>Rafał</v>
          </cell>
        </row>
        <row r="11">
          <cell r="A11" t="str">
            <v>Zbyszek</v>
          </cell>
        </row>
        <row r="12">
          <cell r="A12" t="str">
            <v>zaopatrzenie</v>
          </cell>
        </row>
        <row r="13">
          <cell r="A13">
            <v>0</v>
          </cell>
        </row>
        <row r="14">
          <cell r="A14">
            <v>0</v>
          </cell>
        </row>
      </sheetData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IENIE"/>
      <sheetName val="2.1.a"/>
      <sheetName val="2.1.b"/>
      <sheetName val="2.1.c"/>
      <sheetName val="2.1.d"/>
      <sheetName val="2.1.e"/>
      <sheetName val="2.1.f"/>
      <sheetName val="2.1.g"/>
      <sheetName val="2.1.h"/>
    </sheetNames>
    <sheetDataSet>
      <sheetData sheetId="0">
        <row r="2">
          <cell r="F2">
            <v>1</v>
          </cell>
        </row>
      </sheetData>
      <sheetData sheetId="1"/>
      <sheetData sheetId="2">
        <row r="6">
          <cell r="I6">
            <v>1</v>
          </cell>
        </row>
        <row r="81">
          <cell r="I81">
            <v>87344.39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kcja"/>
      <sheetName val="ZESTAWIENIE MAS"/>
      <sheetName val="cennik "/>
      <sheetName val="budżet"/>
      <sheetName val="listy wyboru"/>
      <sheetName val="koszt ofertowy"/>
      <sheetName val="Arkusz1"/>
    </sheetNames>
    <sheetDataSet>
      <sheetData sheetId="0" refreshError="1"/>
      <sheetData sheetId="1" refreshError="1"/>
      <sheetData sheetId="2">
        <row r="2">
          <cell r="B2" t="str">
            <v>MMB</v>
          </cell>
          <cell r="G2" t="str">
            <v>Do masy</v>
          </cell>
          <cell r="L2" t="str">
            <v>transport łódką za tkm</v>
          </cell>
        </row>
        <row r="3">
          <cell r="B3" t="str">
            <v>Podbudowa AC22P KR3-6     3/R/14</v>
          </cell>
          <cell r="G3" t="str">
            <v>zespół bitumiczny</v>
          </cell>
          <cell r="L3" t="str">
            <v>transport łódką za 1h</v>
          </cell>
        </row>
        <row r="4">
          <cell r="B4" t="str">
            <v>Podbudowa AC22P KR1-2    4A/R/14</v>
          </cell>
          <cell r="G4" t="str">
            <v xml:space="preserve">Rozściełacz mas bit.Dynapac   F-181C/S </v>
          </cell>
          <cell r="L4" t="str">
            <v>transport 4 osiówką za tkm</v>
          </cell>
        </row>
        <row r="5">
          <cell r="B5" t="str">
            <v>Podbudowa AC16P KR1-2</v>
          </cell>
          <cell r="G5" t="str">
            <v>Rozsciełacz mas bit. Dynapac  F -181C</v>
          </cell>
          <cell r="L5" t="str">
            <v>transport 4 osiówką za 1h</v>
          </cell>
        </row>
        <row r="6">
          <cell r="B6" t="str">
            <v>Wiążąca AC16W KR3-4         10A/R/14</v>
          </cell>
          <cell r="D6">
            <v>127.20949999999999</v>
          </cell>
          <cell r="G6" t="str">
            <v>Walec ogumiony Bitelli</v>
          </cell>
          <cell r="L6" t="str">
            <v>transport 3 osiówką za 1h</v>
          </cell>
        </row>
        <row r="7">
          <cell r="B7" t="str">
            <v>Wiążąca AC16W KR3-6      18D</v>
          </cell>
          <cell r="G7" t="str">
            <v>Walec wibracyjny CC522 Dynapac</v>
          </cell>
          <cell r="L7" t="str">
            <v>STAR SKRZYNIOWY Z HDS</v>
          </cell>
        </row>
        <row r="8">
          <cell r="B8" t="str">
            <v>Wiążąca AC22W KR3-4     19B/R/15</v>
          </cell>
          <cell r="G8" t="str">
            <v>Walec kombinowany DYNAPAC CC232</v>
          </cell>
          <cell r="L8" t="str">
            <v>IVECO,MERCEDES SKRZYNIA+WYWROTKA+HDS</v>
          </cell>
        </row>
        <row r="9">
          <cell r="B9" t="str">
            <v>Wiążąca AC16W KR1-2    11B/R/14</v>
          </cell>
          <cell r="G9" t="str">
            <v>WALEC GŁADKI 2,5 T</v>
          </cell>
          <cell r="L9" t="str">
            <v>MAN-SAMOCHÓD SKRZYNIOWY+HIAB 8 ton</v>
          </cell>
        </row>
        <row r="10">
          <cell r="B10" t="str">
            <v>Wiążąca AC11W KR1-2    20/R/15</v>
          </cell>
          <cell r="G10" t="str">
            <v>frezarka 1 m</v>
          </cell>
          <cell r="L10" t="str">
            <v>MAN-SAMOCHÓD SKRZYNIOWY+HIAB pow. 10 ton</v>
          </cell>
        </row>
        <row r="11">
          <cell r="B11" t="str">
            <v>Ścieralna AC11S - remonty cząstkowe KR3-4      13R/R/14</v>
          </cell>
          <cell r="G11" t="str">
            <v>bobcat</v>
          </cell>
        </row>
        <row r="12">
          <cell r="B12" t="str">
            <v>Ścieralna AC11S -KR3-6 oryginał   17E</v>
          </cell>
          <cell r="G12" t="str">
            <v>ciągnik + szczotka</v>
          </cell>
          <cell r="L12" t="str">
            <v>ZESTAW NISKOPODWOZIOWY            25 ton i powyżej</v>
          </cell>
        </row>
        <row r="13">
          <cell r="B13" t="str">
            <v>Ścieralna AC11S - KR3-4 (zamiennik 17E)</v>
          </cell>
          <cell r="G13" t="str">
            <v>ciagnik z wodą</v>
          </cell>
          <cell r="L13" t="str">
            <v>ZESTAW NISKOPODWOZIOWY - tylko ciągnik</v>
          </cell>
        </row>
        <row r="14">
          <cell r="B14" t="str">
            <v>Ścieralna AC11S - KR1-2 12D/R/14 taka w papierach</v>
          </cell>
          <cell r="G14" t="str">
            <v>STAR ze skrapiarką i obsługą operatorską skrapiarki</v>
          </cell>
        </row>
        <row r="15">
          <cell r="B15" t="str">
            <v>Ścieralna AC11S - KR1-2(zamiennik)    12D/R/14</v>
          </cell>
          <cell r="G15" t="str">
            <v>sprężarka "atlas copco"</v>
          </cell>
        </row>
        <row r="16">
          <cell r="B16" t="str">
            <v xml:space="preserve">Ścieralna AC8S - KR3-4 </v>
          </cell>
          <cell r="E16">
            <v>2.3889999999999998</v>
          </cell>
          <cell r="L16" t="str">
            <v>robocizna obca bez sprzętu</v>
          </cell>
        </row>
        <row r="17">
          <cell r="B17" t="str">
            <v xml:space="preserve">Ścieralna AC8S - KR3-4 (zamiennik) </v>
          </cell>
          <cell r="G17" t="str">
            <v>Koparki</v>
          </cell>
          <cell r="L17" t="str">
            <v>profilowanie i zagęszczenie podłoża</v>
          </cell>
        </row>
        <row r="18">
          <cell r="B18" t="str">
            <v>Ścieralna AC5S - KR1-2 22/R/15 ścieżki rowerowe</v>
          </cell>
          <cell r="G18" t="str">
            <v>Koparka kołowa</v>
          </cell>
          <cell r="L18" t="str">
            <v>wbud. w-wy odsączającej / stabil. do 10 cm</v>
          </cell>
        </row>
        <row r="19">
          <cell r="B19" t="str">
            <v>SMA11 KR3-4  9/R/14</v>
          </cell>
          <cell r="G19" t="str">
            <v>koparka kołowa Liebher z młotem</v>
          </cell>
          <cell r="L19" t="str">
            <v>wbud. w-wy odsączającej / stabil. od 11 cm</v>
          </cell>
        </row>
        <row r="20">
          <cell r="B20" t="str">
            <v>SMA8 KR3-4     17G/R/15</v>
          </cell>
          <cell r="G20" t="str">
            <v>koparko-ładowarka</v>
          </cell>
          <cell r="L20" t="str">
            <v>uk.KŁSM do 10 cm</v>
          </cell>
        </row>
        <row r="21">
          <cell r="B21" t="str">
            <v>SMA16 JENA  30/R/15</v>
          </cell>
          <cell r="G21" t="str">
            <v>koparka gąsienicowa 1,4 m3 Caterpiler Cat 320, Liebher, Furukawa</v>
          </cell>
          <cell r="L21" t="str">
            <v>uk.KŁSM 11-20 cm</v>
          </cell>
        </row>
        <row r="22">
          <cell r="B22" t="str">
            <v>Ścieralna AC5S - KR1-2 22K/R/15 ścieżki rowerowe czerwone</v>
          </cell>
          <cell r="G22" t="str">
            <v>koparka gąsienicowa 1,1 m3 Liebher</v>
          </cell>
          <cell r="L22" t="str">
            <v>uk.KŁSM od 21 cm</v>
          </cell>
        </row>
        <row r="23">
          <cell r="B23" t="str">
            <v>SMA5 KR1-2 czerwone ścieżki koncepcja</v>
          </cell>
          <cell r="G23" t="str">
            <v>koparka gąsienicowa 2,6 m3 Volvo</v>
          </cell>
          <cell r="L23" t="str">
            <v>uk.kostki 6 cm</v>
          </cell>
        </row>
        <row r="24">
          <cell r="B24" t="str">
            <v>emulja afaltowa</v>
          </cell>
          <cell r="G24" t="str">
            <v>koparka gąsienicowa 1,8 m3 Liebher</v>
          </cell>
          <cell r="L24" t="str">
            <v>uk.kostki 8 cm</v>
          </cell>
        </row>
        <row r="25">
          <cell r="G25" t="str">
            <v>koparka gąsienicowa 1,5 m3 Daewoo kopanie + skarpowanie</v>
          </cell>
          <cell r="L25" t="str">
            <v>uk.kostki kam 18/20</v>
          </cell>
        </row>
        <row r="26">
          <cell r="B26" t="str">
            <v>BETONY</v>
          </cell>
          <cell r="L26" t="str">
            <v>uk.kostki kam 9/11</v>
          </cell>
        </row>
        <row r="27">
          <cell r="B27" t="str">
            <v>beton B-25       K - 3</v>
          </cell>
          <cell r="G27" t="str">
            <v>Ładowarki</v>
          </cell>
          <cell r="L27" t="str">
            <v>uk.płyt chodn. 50x50</v>
          </cell>
        </row>
        <row r="28">
          <cell r="B28" t="str">
            <v>beton B-25       K - 2</v>
          </cell>
          <cell r="G28" t="str">
            <v>BOBCAT+OSPRZĘT</v>
          </cell>
          <cell r="L28" t="str">
            <v>uk.płyt chodn. (20-35)x(20-35)</v>
          </cell>
        </row>
        <row r="29">
          <cell r="B29" t="str">
            <v>beton B-20       K - 3</v>
          </cell>
          <cell r="G29" t="str">
            <v>Ł-200</v>
          </cell>
          <cell r="L29" t="str">
            <v>uk.płyt MEBA</v>
          </cell>
        </row>
        <row r="30">
          <cell r="B30" t="str">
            <v>beton B-20       K - 2</v>
          </cell>
          <cell r="G30" t="str">
            <v>Ł-34</v>
          </cell>
          <cell r="L30" t="str">
            <v>uk.płyt YOMB</v>
          </cell>
        </row>
        <row r="31">
          <cell r="B31" t="str">
            <v>beton B-15       K - 3</v>
          </cell>
          <cell r="G31" t="str">
            <v>LIEBHERR 754 4,5 M3</v>
          </cell>
          <cell r="L31" t="str">
            <v>uk.kraw ciężkiego 20x30</v>
          </cell>
          <cell r="N31">
            <v>12</v>
          </cell>
        </row>
        <row r="32">
          <cell r="B32" t="str">
            <v>beton B-15       K - 2</v>
          </cell>
          <cell r="L32" t="str">
            <v>uk.kraw lekkiego 15x30</v>
          </cell>
          <cell r="N32">
            <v>10</v>
          </cell>
        </row>
        <row r="33">
          <cell r="B33" t="str">
            <v>beton B-10       K - 3</v>
          </cell>
          <cell r="G33" t="str">
            <v>Równiarki</v>
          </cell>
          <cell r="L33" t="str">
            <v>uk.opornika bet 12x25</v>
          </cell>
        </row>
        <row r="34">
          <cell r="B34" t="str">
            <v>beton B-10       K - 2</v>
          </cell>
          <cell r="D34">
            <v>130</v>
          </cell>
          <cell r="G34" t="str">
            <v>RÓWNIARKA MBU G50A</v>
          </cell>
          <cell r="L34" t="str">
            <v>uk.obrzeża 6</v>
          </cell>
        </row>
        <row r="35">
          <cell r="B35" t="str">
            <v>beton B-7,5      K - 2</v>
          </cell>
          <cell r="G35" t="str">
            <v>Równiarka Nobas</v>
          </cell>
          <cell r="L35" t="str">
            <v>uk.obrzeża 8</v>
          </cell>
        </row>
        <row r="36">
          <cell r="B36" t="str">
            <v>podsypka  1 : 4</v>
          </cell>
          <cell r="D36">
            <v>100</v>
          </cell>
          <cell r="L36" t="str">
            <v>uk.kraw kam 15</v>
          </cell>
        </row>
        <row r="37">
          <cell r="B37" t="str">
            <v>podsypka  1 : 8</v>
          </cell>
          <cell r="G37" t="str">
            <v>Boczniaki i rozściełacze do asfaltu lanego</v>
          </cell>
          <cell r="L37" t="str">
            <v>uk.kraw kam 20</v>
          </cell>
        </row>
        <row r="38">
          <cell r="B38" t="str">
            <v>stabilizacja. 2,5-5 MPa</v>
          </cell>
          <cell r="G38" t="str">
            <v>DEMAG 0,75 DO 1,5M   BOCZNIAK</v>
          </cell>
          <cell r="L38" t="str">
            <v>uk.opornika kam 12</v>
          </cell>
        </row>
        <row r="39">
          <cell r="B39" t="str">
            <v>stabilizacja 2,5 MPa</v>
          </cell>
          <cell r="G39" t="str">
            <v>DEMAG 0,5 DO 2,5M gr. 10cm  BOCZNIAK</v>
          </cell>
          <cell r="L39" t="str">
            <v>uk.kostki 30x30 10 cm</v>
          </cell>
        </row>
        <row r="40">
          <cell r="B40" t="str">
            <v>stabilizacja 1,5 MPa</v>
          </cell>
          <cell r="E40">
            <v>2</v>
          </cell>
          <cell r="G40" t="str">
            <v>DEMAG 0,5 DO 2,5M gr. Każdy dalszy 1cm  BOCZNIAK</v>
          </cell>
          <cell r="L40" t="str">
            <v>uk.kostki 30x30 12 cm</v>
          </cell>
        </row>
        <row r="41">
          <cell r="B41" t="str">
            <v>podbudowa  6 - 9 Mpa</v>
          </cell>
          <cell r="G41" t="str">
            <v>UKŁADARKA ASFALTU TWARDOLANEGO  SZER   3-4 M</v>
          </cell>
          <cell r="L41" t="str">
            <v>uk.płyt kamiennych 40x60 gr. 12 cm</v>
          </cell>
        </row>
        <row r="42">
          <cell r="B42" t="str">
            <v>podbudowa  3,5 - 5 Mpa</v>
          </cell>
        </row>
        <row r="43">
          <cell r="B43" t="str">
            <v>podbudowa 2,5 - 5 Mpa</v>
          </cell>
          <cell r="G43" t="str">
            <v>Remonter</v>
          </cell>
        </row>
        <row r="44">
          <cell r="B44" t="str">
            <v>bet. B - 20   zatoki autobus</v>
          </cell>
          <cell r="G44" t="str">
            <v>GRZANIE+TRANSPORT /Z OBSŁUGĄ PRACOWNIKA/</v>
          </cell>
        </row>
        <row r="45">
          <cell r="G45" t="str">
            <v>GRZANIE KOTŁA/ BEZ OBSŁUGI/</v>
          </cell>
        </row>
        <row r="46">
          <cell r="B46" t="str">
            <v xml:space="preserve">PODBUDOWY </v>
          </cell>
        </row>
        <row r="47">
          <cell r="B47" t="str">
            <v>KŁSM 0/63 Mirowo</v>
          </cell>
          <cell r="G47" t="str">
            <v>Kocioł grzewczy</v>
          </cell>
        </row>
        <row r="48">
          <cell r="B48" t="str">
            <v>KŁAM Yeoman 0/31,5</v>
          </cell>
          <cell r="E48">
            <v>2.2999999999999998</v>
          </cell>
          <cell r="G48" t="str">
            <v>GRZANIE KOTŁA</v>
          </cell>
        </row>
        <row r="49">
          <cell r="B49" t="str">
            <v>KŁSM Mibau</v>
          </cell>
          <cell r="G49" t="str">
            <v>GRZANIE KOTŁA+ TRANSPORT</v>
          </cell>
        </row>
        <row r="50">
          <cell r="B50" t="str">
            <v>KŁSM Gostomie</v>
          </cell>
        </row>
        <row r="51">
          <cell r="B51" t="str">
            <v>KŁSM kontrakt</v>
          </cell>
          <cell r="D51">
            <v>55</v>
          </cell>
          <cell r="E51">
            <v>2.2799999999999998</v>
          </cell>
          <cell r="G51" t="str">
            <v>Sprzęt inny</v>
          </cell>
        </row>
        <row r="52">
          <cell r="B52" t="str">
            <v>gruzobeton</v>
          </cell>
          <cell r="G52" t="str">
            <v>Kruszarka mobilna</v>
          </cell>
        </row>
        <row r="53">
          <cell r="B53" t="str">
            <v>PIASKI, ŻWIRY, POSPÓŁKI,</v>
          </cell>
        </row>
        <row r="54">
          <cell r="B54" t="str">
            <v>mrozoochronna</v>
          </cell>
          <cell r="G54" t="str">
            <v>Zagęszczarka</v>
          </cell>
        </row>
        <row r="55">
          <cell r="B55" t="str">
            <v>pospółka</v>
          </cell>
          <cell r="G55" t="str">
            <v>PŁYTOWA WACKER</v>
          </cell>
        </row>
        <row r="56">
          <cell r="B56" t="str">
            <v>żwiry na nawierzchnię, pobocza</v>
          </cell>
          <cell r="D56">
            <v>26</v>
          </cell>
          <cell r="G56" t="str">
            <v>PŁYTOWA PROJECT</v>
          </cell>
        </row>
        <row r="57">
          <cell r="B57" t="str">
            <v>piasek loco budowa</v>
          </cell>
          <cell r="D57">
            <v>12</v>
          </cell>
          <cell r="E57">
            <v>1.65</v>
          </cell>
          <cell r="G57" t="str">
            <v>GX390  Pałubicki, Wierdak</v>
          </cell>
        </row>
        <row r="58">
          <cell r="B58" t="str">
            <v>odsączająca</v>
          </cell>
          <cell r="D58">
            <v>20</v>
          </cell>
          <cell r="G58" t="str">
            <v>Dynapac 500 Ramirent</v>
          </cell>
        </row>
        <row r="59">
          <cell r="B59" t="str">
            <v>MATERIAŁY KAMIENNE</v>
          </cell>
          <cell r="G59" t="str">
            <v>Skrapiarka</v>
          </cell>
        </row>
        <row r="60">
          <cell r="B60" t="str">
            <v>kostka kamienna gr 11 cm</v>
          </cell>
          <cell r="G60" t="str">
            <v>skrapiarka PBD</v>
          </cell>
        </row>
        <row r="61">
          <cell r="B61" t="str">
            <v>kostka kamienna gr 18-20 cm</v>
          </cell>
          <cell r="G61" t="str">
            <v>frezarka za dzień - 2 m</v>
          </cell>
        </row>
        <row r="62">
          <cell r="B62" t="str">
            <v>Krawężnik kamienny 20x30x100</v>
          </cell>
          <cell r="G62" t="str">
            <v>frezarka za dzień - 1 m</v>
          </cell>
        </row>
        <row r="63">
          <cell r="B63" t="str">
            <v>krawężnik najazdowy kamienny 20x22x100</v>
          </cell>
          <cell r="G63" t="str">
            <v>Frezarka</v>
          </cell>
        </row>
        <row r="64">
          <cell r="B64" t="str">
            <v>Krawężnik kamienny 15x30x100</v>
          </cell>
          <cell r="G64" t="str">
            <v>Wirtgen 2000  DC i W2000 FREZ-BET</v>
          </cell>
        </row>
        <row r="65">
          <cell r="B65" t="str">
            <v>Kamień polny</v>
          </cell>
          <cell r="G65" t="str">
            <v>frezowanie miejskie do 1000 m2 od 0-4 cm</v>
          </cell>
        </row>
        <row r="66">
          <cell r="G66" t="str">
            <v xml:space="preserve">frezowanie miejskie do 1000 m2 za każdy następny cm </v>
          </cell>
        </row>
        <row r="67">
          <cell r="B67" t="str">
            <v>PREFABRYKATY BETONOWE</v>
          </cell>
          <cell r="G67" t="str">
            <v>frezowanie miejskie pow. 1000 m2 od 0-4 cm</v>
          </cell>
        </row>
        <row r="68">
          <cell r="B68" t="str">
            <v>Polbruk  loco budowa bez rozładunku / z rozładunkiem</v>
          </cell>
          <cell r="G68" t="str">
            <v xml:space="preserve">frezowanie miejskie pow. 1000 m2 za każdy następny cm </v>
          </cell>
        </row>
        <row r="69">
          <cell r="B69" t="str">
            <v>Polbruk gr .6 cm szara prostokąt, tetetka, eskoo, unikor</v>
          </cell>
          <cell r="G69" t="str">
            <v>frezowanie pozamiejskie do 1000 m2 od 0-4 cm</v>
          </cell>
        </row>
        <row r="70">
          <cell r="B70" t="str">
            <v>Polbruk gr. 6 cm kolor  prostokąt, tetetka, eskoo, unikor</v>
          </cell>
          <cell r="G70" t="str">
            <v xml:space="preserve">frezowanie pozamiejskie do 1000 m2 za każdy następny cm </v>
          </cell>
        </row>
        <row r="71">
          <cell r="B71" t="str">
            <v>Polbruk gr .6 cm szara prostokąt bezfazy</v>
          </cell>
          <cell r="G71" t="str">
            <v>frezowanie pozamiejskie pow. 1000 m2 od 0-4 cm</v>
          </cell>
        </row>
        <row r="72">
          <cell r="B72" t="str">
            <v>Polbruk gr .6 cm kolor  prostokąt bezfazy</v>
          </cell>
          <cell r="G72" t="str">
            <v xml:space="preserve">frezowanie pozamiejskie pow. 1000 m2 za każdy następny cm </v>
          </cell>
        </row>
        <row r="73">
          <cell r="B73" t="str">
            <v>Polbruk gr. 8 cm szara prostokąt, tetetka, eskoo, unikor</v>
          </cell>
          <cell r="G73" t="str">
            <v xml:space="preserve">frezownie cząstkowe </v>
          </cell>
        </row>
        <row r="74">
          <cell r="B74" t="str">
            <v>Polbruk gr. 8 cm kolor prostokąt, tetetka, eskoo, unikor</v>
          </cell>
          <cell r="D74">
            <v>25</v>
          </cell>
          <cell r="G74" t="str">
            <v>frezowanie betonu nawierzchniowego</v>
          </cell>
        </row>
        <row r="75">
          <cell r="B75" t="str">
            <v>Polbruk gr. 8 cm szara prostokąt, TT  bezfazy</v>
          </cell>
          <cell r="G75" t="str">
            <v>piła do cięcia</v>
          </cell>
        </row>
        <row r="76">
          <cell r="B76" t="str">
            <v>Polbruk gr. 8 cm kolor  prostokąt, TT  bezfazy</v>
          </cell>
          <cell r="G76" t="str">
            <v>Wirtgen 1000 C (1m) FREZ-BET - remonty</v>
          </cell>
        </row>
        <row r="77">
          <cell r="B77" t="str">
            <v>Płyta chodnikowa gładka gr. 7cm  50x50 szara</v>
          </cell>
          <cell r="G77" t="str">
            <v xml:space="preserve">frezowanie cząstkowe wcinki - remonty 1000 m2 od 0-4 cm </v>
          </cell>
        </row>
        <row r="78">
          <cell r="B78" t="str">
            <v>Płyta chodnikowa gładka gr. 7cm  50x50 kolor</v>
          </cell>
          <cell r="G78" t="str">
            <v>frezowanie cząstkowe wcinki - remonty 1000 m2 za każdy następny cm</v>
          </cell>
        </row>
        <row r="79">
          <cell r="B79" t="str">
            <v xml:space="preserve">Płyta ażurowa "MEBA" gr. 8 cm szara 40x60 </v>
          </cell>
          <cell r="G79" t="str">
            <v xml:space="preserve">frezowanie cząstkowe wcinki - remonty pow. 1000 m2 od 0-4 cm </v>
          </cell>
        </row>
        <row r="80">
          <cell r="B80" t="str">
            <v xml:space="preserve">Płyta ażurowa "MEBA" gr. 10cm szara 40x60 </v>
          </cell>
          <cell r="G80" t="str">
            <v xml:space="preserve">frezowanie cząstkowe wcinki - remonty pow. 1000 m2  za każdy następny cm </v>
          </cell>
        </row>
        <row r="81">
          <cell r="B81" t="str">
            <v>Płyta ażurowa "MEBA" gr. 12cm szara 40x60</v>
          </cell>
        </row>
        <row r="82">
          <cell r="B82" t="str">
            <v>Obrzeże trawnikowe 20x100 szare</v>
          </cell>
          <cell r="G82" t="str">
            <v>Dźwig</v>
          </cell>
        </row>
        <row r="83">
          <cell r="B83" t="str">
            <v>Obrzeże chodnikowe gr. 8cm   25x100  szare</v>
          </cell>
          <cell r="G83" t="str">
            <v>7 ton                     dojazd  5zł/km</v>
          </cell>
        </row>
        <row r="84">
          <cell r="B84" t="str">
            <v>Obrzeże chodnikowe gr. 8cm   30x100  szare</v>
          </cell>
          <cell r="G84" t="str">
            <v>13 ton                   dojazd 7zł/km</v>
          </cell>
        </row>
        <row r="85">
          <cell r="B85" t="str">
            <v>Krawężnik drogowy lekki  15x30x100  szary</v>
          </cell>
          <cell r="G85" t="str">
            <v>16 ton                  dojazd 11zl/km</v>
          </cell>
        </row>
        <row r="86">
          <cell r="B86" t="str">
            <v>Krawężnik drogowy lekki połówka  15x30x50  szary</v>
          </cell>
          <cell r="G86" t="str">
            <v>18 ton                  dojazd 12zł/km</v>
          </cell>
        </row>
        <row r="87">
          <cell r="B87" t="str">
            <v>Krawężnik drogowy ciężki  20x30x100  szary</v>
          </cell>
        </row>
        <row r="88">
          <cell r="B88" t="str">
            <v>Krawężnik drogowy niski  15x25x100  szary</v>
          </cell>
          <cell r="G88" t="str">
            <v>Ciągnik rolniczy, zamiatarka</v>
          </cell>
        </row>
        <row r="89">
          <cell r="B89" t="str">
            <v>Krawężnik najazdowy  15x22x100  szary</v>
          </cell>
          <cell r="G89" t="str">
            <v xml:space="preserve">URSUS,ZETOR, C-360 FARMER </v>
          </cell>
        </row>
        <row r="90">
          <cell r="B90" t="str">
            <v>Krawężnik drogowy - opornik  12x25x100  szary</v>
          </cell>
          <cell r="G90" t="str">
            <v>Z OSPRZĘTEM SZCZOTKA,BECZKA</v>
          </cell>
        </row>
        <row r="91">
          <cell r="B91" t="str">
            <v>Krawężnik łuk. zew. i wew.  15x30, r= 0,5; 1; 2; ; 5; 8 m szary</v>
          </cell>
          <cell r="G91" t="str">
            <v>MULTICAR SZCZOTKA,</v>
          </cell>
        </row>
        <row r="92">
          <cell r="B92" t="str">
            <v>Korytko ściekowe drogowe  33x60x15 szare</v>
          </cell>
          <cell r="G92" t="str">
            <v>VW SZCZOTKA, BECZKA</v>
          </cell>
        </row>
        <row r="93">
          <cell r="B93" t="str">
            <v>Korytko ściekowe trójkątne  35x50x20 szare</v>
          </cell>
        </row>
        <row r="94">
          <cell r="B94" t="str">
            <v>Korytko ściekowe chodnikowe 33x25x8 szare</v>
          </cell>
          <cell r="G94" t="str">
            <v>Walce</v>
          </cell>
        </row>
        <row r="95">
          <cell r="B95" t="str">
            <v xml:space="preserve">Kostka brukowa 30x30 gr.10 cm </v>
          </cell>
          <cell r="G95" t="str">
            <v>WIBRACYJNY HAMM, BOMAG- GŁADKI</v>
          </cell>
        </row>
        <row r="96">
          <cell r="B96" t="str">
            <v xml:space="preserve">Kostka brukowa 30x30 gr.12 cm </v>
          </cell>
          <cell r="G96" t="str">
            <v>STAVOSTROJ VV170 GŁADKI</v>
          </cell>
        </row>
        <row r="97">
          <cell r="B97" t="str">
            <v xml:space="preserve">Kostka brukowa 40x40 gr.12 cm </v>
          </cell>
          <cell r="G97" t="str">
            <v>WALEC  GŁADKI - MAŁY Techrob, Ewrom, PW kowalski</v>
          </cell>
        </row>
        <row r="98">
          <cell r="B98" t="str">
            <v>płytka chodnikowa 35x35x5 cm</v>
          </cell>
          <cell r="G98" t="str">
            <v>WALEC  GŁADKI - MAŁY /BEZ OBSŁUGI/ Techrob</v>
          </cell>
        </row>
        <row r="99">
          <cell r="B99" t="str">
            <v>Geosyntetyki</v>
          </cell>
          <cell r="G99" t="str">
            <v>WALEC GŁADKI 2,5 T  PW Kowalski</v>
          </cell>
        </row>
        <row r="100">
          <cell r="B100" t="str">
            <v>geosiatka na połączeniu nawierzchni</v>
          </cell>
          <cell r="G100" t="str">
            <v>WALEC AMMAN  HAMM GŁADKI</v>
          </cell>
        </row>
        <row r="101">
          <cell r="B101" t="str">
            <v>geosiatka typu georuszt</v>
          </cell>
        </row>
        <row r="102">
          <cell r="B102" t="str">
            <v>geotkanina</v>
          </cell>
          <cell r="G102" t="str">
            <v>Spycharki</v>
          </cell>
        </row>
        <row r="103">
          <cell r="B103" t="str">
            <v>płytka antypoślizgowa 35X35 kolor</v>
          </cell>
          <cell r="G103" t="str">
            <v>CAT D4C, KOMATSU D37</v>
          </cell>
        </row>
        <row r="104">
          <cell r="B104" t="str">
            <v>Gabiony 1x1x0,5</v>
          </cell>
          <cell r="G104" t="str">
            <v>LIEBHER TYP 712,TD-15C, KOMATSU</v>
          </cell>
        </row>
        <row r="105">
          <cell r="B105" t="str">
            <v>ZIELEŃ</v>
          </cell>
          <cell r="G105" t="str">
            <v>LIEBHER TYP 722 CAT D5HLGP KOMATSU</v>
          </cell>
        </row>
        <row r="106">
          <cell r="B106" t="str">
            <v>Krata trawnikowa parkingowa 50x50x4 cm</v>
          </cell>
          <cell r="G106" t="str">
            <v>D6R  Oltrans</v>
          </cell>
        </row>
        <row r="107">
          <cell r="G107" t="str">
            <v>KOMATSU 230 KM</v>
          </cell>
        </row>
        <row r="114">
          <cell r="G114" t="str">
            <v>Geodezja</v>
          </cell>
        </row>
        <row r="115">
          <cell r="G115" t="str">
            <v>przestawienie wiaty</v>
          </cell>
        </row>
        <row r="116">
          <cell r="G116" t="str">
            <v>nadzór przyrodniczy</v>
          </cell>
        </row>
        <row r="117">
          <cell r="G117" t="str">
            <v>nadzór archeologiczny</v>
          </cell>
        </row>
        <row r="118">
          <cell r="G118" t="str">
            <v>nadzór saperski</v>
          </cell>
        </row>
        <row r="120">
          <cell r="G120" t="str">
            <v>oznkowanie cienkowarstwowe</v>
          </cell>
        </row>
        <row r="121">
          <cell r="G121" t="str">
            <v>oznkowanie grubowarstwowe</v>
          </cell>
        </row>
        <row r="122">
          <cell r="G122" t="str">
            <v>PROJEKT ORGANIZACJI RUCHU</v>
          </cell>
        </row>
        <row r="123">
          <cell r="G123" t="str">
            <v>HUMUSOWANIE gr. 10 cm z obsiewem</v>
          </cell>
        </row>
      </sheetData>
      <sheetData sheetId="3">
        <row r="2">
          <cell r="V2">
            <v>20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nik"/>
      <sheetName val="PREL"/>
      <sheetName val="BUDOWLANE"/>
      <sheetName val="ELEKTRYCZNE"/>
      <sheetName val="SAP"/>
      <sheetName val="SWIN"/>
      <sheetName val="SANIT"/>
      <sheetName val="TES"/>
    </sheetNames>
    <sheetDataSet>
      <sheetData sheetId="0"/>
      <sheetData sheetId="1">
        <row r="18">
          <cell r="E18">
            <v>1</v>
          </cell>
        </row>
      </sheetData>
      <sheetData sheetId="2">
        <row r="7">
          <cell r="J7">
            <v>0</v>
          </cell>
        </row>
      </sheetData>
      <sheetData sheetId="3">
        <row r="7">
          <cell r="K7">
            <v>0</v>
          </cell>
        </row>
      </sheetData>
      <sheetData sheetId="4">
        <row r="7">
          <cell r="K7">
            <v>0</v>
          </cell>
        </row>
      </sheetData>
      <sheetData sheetId="5">
        <row r="7">
          <cell r="K7">
            <v>0</v>
          </cell>
        </row>
      </sheetData>
      <sheetData sheetId="6">
        <row r="7">
          <cell r="K7">
            <v>0</v>
          </cell>
        </row>
      </sheetData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taw. PW"/>
      <sheetName val="oferty PW"/>
      <sheetName val="ZESTAWIENIE"/>
      <sheetName val="2.1.a"/>
      <sheetName val="2.1.b"/>
      <sheetName val="2.1.c"/>
      <sheetName val="2.1.d"/>
      <sheetName val="2.1.e"/>
      <sheetName val="2.1.f"/>
      <sheetName val="2.1.g"/>
      <sheetName val="2.1.h"/>
      <sheetName val="DK 55 SZTUM - kosztorysy oferto"/>
    </sheetNames>
    <sheetDataSet>
      <sheetData sheetId="0">
        <row r="15">
          <cell r="F15">
            <v>0</v>
          </cell>
        </row>
      </sheetData>
      <sheetData sheetId="1">
        <row r="15">
          <cell r="F15">
            <v>0.01</v>
          </cell>
        </row>
      </sheetData>
      <sheetData sheetId="2">
        <row r="2">
          <cell r="F2">
            <v>1.0649999999999999</v>
          </cell>
        </row>
      </sheetData>
      <sheetData sheetId="3">
        <row r="6">
          <cell r="P6">
            <v>2.4</v>
          </cell>
        </row>
      </sheetData>
      <sheetData sheetId="4">
        <row r="6">
          <cell r="I6">
            <v>1.0649999999999999</v>
          </cell>
        </row>
      </sheetData>
      <sheetData sheetId="5">
        <row r="7">
          <cell r="K7">
            <v>1.0339</v>
          </cell>
        </row>
      </sheetData>
      <sheetData sheetId="6">
        <row r="7">
          <cell r="I7">
            <v>1.0339</v>
          </cell>
        </row>
      </sheetData>
      <sheetData sheetId="7">
        <row r="7">
          <cell r="I7">
            <v>1.0339</v>
          </cell>
        </row>
      </sheetData>
      <sheetData sheetId="8">
        <row r="7">
          <cell r="I7">
            <v>1.0339</v>
          </cell>
        </row>
      </sheetData>
      <sheetData sheetId="9">
        <row r="6">
          <cell r="N6">
            <v>0.97</v>
          </cell>
        </row>
        <row r="7">
          <cell r="J7">
            <v>1.0339</v>
          </cell>
        </row>
      </sheetData>
      <sheetData sheetId="10">
        <row r="6">
          <cell r="M6">
            <v>0.97</v>
          </cell>
        </row>
        <row r="7">
          <cell r="I7">
            <v>1.0339</v>
          </cell>
        </row>
      </sheetData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 PW"/>
      <sheetName val="TES"/>
      <sheetName val="ZOP"/>
      <sheetName val="1 AL. MB FATIMSKIEJ - PL. PIAST"/>
      <sheetName val="2 WYSZYŃSKIEGO - ALEJA BRZOZOWA"/>
    </sheetNames>
    <sheetDataSet>
      <sheetData sheetId="0"/>
      <sheetData sheetId="1"/>
      <sheetData sheetId="2"/>
      <sheetData sheetId="3">
        <row r="6">
          <cell r="AI6">
            <v>0.95</v>
          </cell>
        </row>
      </sheetData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kcja"/>
      <sheetName val="ZESTAWIENIE MAS"/>
      <sheetName val="cennik "/>
      <sheetName val="budżet"/>
      <sheetName val="listy wyboru"/>
      <sheetName val="odc. D"/>
      <sheetName val="Arkusz1"/>
    </sheetNames>
    <sheetDataSet>
      <sheetData sheetId="0"/>
      <sheetData sheetId="1"/>
      <sheetData sheetId="2">
        <row r="16">
          <cell r="L16" t="str">
            <v>robocizna obca bez sprzętu</v>
          </cell>
        </row>
        <row r="17">
          <cell r="L17" t="str">
            <v>profilowanie i zagęszczenie podłoża</v>
          </cell>
        </row>
        <row r="18">
          <cell r="L18" t="str">
            <v>wbud. w-wy odsączającej / stabil. do 10 cm</v>
          </cell>
        </row>
        <row r="19">
          <cell r="L19" t="str">
            <v>wbud. w-wy odsączającej / stabil. od 11 cm</v>
          </cell>
        </row>
        <row r="20">
          <cell r="L20" t="str">
            <v>uk.KŁSM do 10 cm</v>
          </cell>
        </row>
        <row r="21">
          <cell r="L21" t="str">
            <v>uk.KŁSM 11-20 cm</v>
          </cell>
        </row>
        <row r="22">
          <cell r="L22" t="str">
            <v>uk.KŁSM od 21 cm</v>
          </cell>
        </row>
        <row r="23">
          <cell r="L23" t="str">
            <v>uk.kostki 6 cm</v>
          </cell>
        </row>
        <row r="24">
          <cell r="L24" t="str">
            <v>uk.kostki 8 cm</v>
          </cell>
        </row>
        <row r="25">
          <cell r="L25" t="str">
            <v>uk.kostki kam 18/20</v>
          </cell>
        </row>
        <row r="26">
          <cell r="L26" t="str">
            <v>uk.kostki kam 9/11</v>
          </cell>
        </row>
        <row r="27">
          <cell r="L27" t="str">
            <v>uk.płyt chodn. 50x50</v>
          </cell>
        </row>
        <row r="28">
          <cell r="L28" t="str">
            <v>uk.płyt chodn. (20-35)x(20-35)</v>
          </cell>
        </row>
        <row r="29">
          <cell r="L29" t="str">
            <v>uk.płyt MEBA</v>
          </cell>
        </row>
        <row r="30">
          <cell r="L30" t="str">
            <v>uk.płyt YOMB</v>
          </cell>
        </row>
        <row r="31">
          <cell r="L31" t="str">
            <v>uk.kraw ciężkiego 20x30</v>
          </cell>
        </row>
        <row r="32">
          <cell r="L32" t="str">
            <v>uk.kraw lekkiego 15x30</v>
          </cell>
        </row>
        <row r="33">
          <cell r="L33" t="str">
            <v>uk.opornika bet 12x25</v>
          </cell>
        </row>
        <row r="34">
          <cell r="L34" t="str">
            <v>uk.obrzeża 6</v>
          </cell>
        </row>
        <row r="35">
          <cell r="L35" t="str">
            <v>uk.obrzeża 8</v>
          </cell>
        </row>
        <row r="36">
          <cell r="L36" t="str">
            <v>uk.kraw kam 15</v>
          </cell>
        </row>
        <row r="37">
          <cell r="L37" t="str">
            <v>uk.kraw kam 20</v>
          </cell>
        </row>
        <row r="38">
          <cell r="L38" t="str">
            <v>uk.opornika kam 12</v>
          </cell>
        </row>
        <row r="39">
          <cell r="L39" t="str">
            <v>uk.kostki 30x30 10 cm</v>
          </cell>
        </row>
        <row r="40">
          <cell r="L40" t="str">
            <v>uk.kostki 30x30 12 cm</v>
          </cell>
        </row>
        <row r="41">
          <cell r="L41" t="str">
            <v>uk.płyt kamiennych 40x60 gr. 12 cm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AFD7C-4E37-4698-882E-98180A54F205}">
  <dimension ref="B2:Q21"/>
  <sheetViews>
    <sheetView workbookViewId="0">
      <selection activeCell="N7" sqref="N7"/>
    </sheetView>
  </sheetViews>
  <sheetFormatPr defaultRowHeight="14.4" x14ac:dyDescent="0.3"/>
  <sheetData>
    <row r="2" spans="2:17" x14ac:dyDescent="0.3">
      <c r="B2" t="s">
        <v>79</v>
      </c>
    </row>
    <row r="4" spans="2:17" x14ac:dyDescent="0.3">
      <c r="B4" t="s">
        <v>78</v>
      </c>
    </row>
    <row r="6" spans="2:17" x14ac:dyDescent="0.3">
      <c r="B6" t="s">
        <v>77</v>
      </c>
    </row>
    <row r="9" spans="2:17" ht="14.4" customHeight="1" x14ac:dyDescent="0.3">
      <c r="B9" s="111" t="s">
        <v>45</v>
      </c>
      <c r="C9" s="111"/>
      <c r="D9" s="111"/>
      <c r="E9" s="111"/>
      <c r="F9" s="111"/>
      <c r="G9" s="111"/>
      <c r="H9" s="111"/>
      <c r="I9" s="111"/>
      <c r="J9" s="111"/>
      <c r="K9" s="69"/>
      <c r="L9" s="69"/>
      <c r="M9" s="69"/>
      <c r="N9" s="69"/>
      <c r="O9" s="69"/>
      <c r="P9" s="69"/>
      <c r="Q9" s="69"/>
    </row>
    <row r="10" spans="2:17" x14ac:dyDescent="0.3">
      <c r="B10" s="111"/>
      <c r="C10" s="111"/>
      <c r="D10" s="111"/>
      <c r="E10" s="111"/>
      <c r="F10" s="111"/>
      <c r="G10" s="111"/>
      <c r="H10" s="111"/>
      <c r="I10" s="111"/>
      <c r="J10" s="111"/>
      <c r="K10" s="69"/>
      <c r="L10" s="69"/>
      <c r="M10" s="69"/>
      <c r="N10" s="69"/>
      <c r="O10" s="69"/>
      <c r="P10" s="69"/>
      <c r="Q10" s="69"/>
    </row>
    <row r="11" spans="2:17" x14ac:dyDescent="0.3">
      <c r="B11" s="111"/>
      <c r="C11" s="111"/>
      <c r="D11" s="111"/>
      <c r="E11" s="111"/>
      <c r="F11" s="111"/>
      <c r="G11" s="111"/>
      <c r="H11" s="111"/>
      <c r="I11" s="111"/>
      <c r="J11" s="111"/>
      <c r="K11" s="69"/>
      <c r="L11" s="69"/>
      <c r="M11" s="69"/>
      <c r="N11" s="69"/>
      <c r="O11" s="69"/>
      <c r="P11" s="69"/>
      <c r="Q11" s="69"/>
    </row>
    <row r="12" spans="2:17" x14ac:dyDescent="0.3">
      <c r="B12" s="111"/>
      <c r="C12" s="111"/>
      <c r="D12" s="111"/>
      <c r="E12" s="111"/>
      <c r="F12" s="111"/>
      <c r="G12" s="111"/>
      <c r="H12" s="111"/>
      <c r="I12" s="111"/>
      <c r="J12" s="111"/>
      <c r="K12" s="69"/>
      <c r="L12" s="69"/>
      <c r="M12" s="69"/>
      <c r="N12" s="69"/>
      <c r="O12" s="69"/>
      <c r="P12" s="69"/>
      <c r="Q12" s="69"/>
    </row>
    <row r="13" spans="2:17" x14ac:dyDescent="0.3">
      <c r="B13" s="111"/>
      <c r="C13" s="111"/>
      <c r="D13" s="111"/>
      <c r="E13" s="111"/>
      <c r="F13" s="111"/>
      <c r="G13" s="111"/>
      <c r="H13" s="111"/>
      <c r="I13" s="111"/>
      <c r="J13" s="111"/>
      <c r="K13" s="69"/>
      <c r="L13" s="69"/>
      <c r="M13" s="69"/>
      <c r="N13" s="69"/>
      <c r="O13" s="69"/>
      <c r="P13" s="69"/>
      <c r="Q13" s="69"/>
    </row>
    <row r="14" spans="2:17" x14ac:dyDescent="0.3">
      <c r="B14" s="111"/>
      <c r="C14" s="111"/>
      <c r="D14" s="111"/>
      <c r="E14" s="111"/>
      <c r="F14" s="111"/>
      <c r="G14" s="111"/>
      <c r="H14" s="111"/>
      <c r="I14" s="111"/>
      <c r="J14" s="111"/>
      <c r="K14" s="69"/>
      <c r="L14" s="69"/>
      <c r="M14" s="69"/>
      <c r="N14" s="69"/>
      <c r="O14" s="69"/>
      <c r="P14" s="69"/>
      <c r="Q14" s="69"/>
    </row>
    <row r="15" spans="2:17" x14ac:dyDescent="0.3">
      <c r="B15" s="111"/>
      <c r="C15" s="111"/>
      <c r="D15" s="111"/>
      <c r="E15" s="111"/>
      <c r="F15" s="111"/>
      <c r="G15" s="111"/>
      <c r="H15" s="111"/>
      <c r="I15" s="111"/>
      <c r="J15" s="111"/>
      <c r="K15" s="69"/>
      <c r="L15" s="69"/>
      <c r="M15" s="69"/>
      <c r="N15" s="69"/>
      <c r="O15" s="69"/>
      <c r="P15" s="69"/>
      <c r="Q15" s="69"/>
    </row>
    <row r="16" spans="2:17" x14ac:dyDescent="0.3">
      <c r="B16" s="111"/>
      <c r="C16" s="111"/>
      <c r="D16" s="111"/>
      <c r="E16" s="111"/>
      <c r="F16" s="111"/>
      <c r="G16" s="111"/>
      <c r="H16" s="111"/>
      <c r="I16" s="111"/>
      <c r="J16" s="111"/>
      <c r="K16" s="69"/>
      <c r="L16" s="69"/>
      <c r="M16" s="69"/>
      <c r="N16" s="69"/>
      <c r="O16" s="69"/>
      <c r="P16" s="69"/>
      <c r="Q16" s="69"/>
    </row>
    <row r="17" spans="2:17" x14ac:dyDescent="0.3">
      <c r="B17" s="111"/>
      <c r="C17" s="111"/>
      <c r="D17" s="111"/>
      <c r="E17" s="111"/>
      <c r="F17" s="111"/>
      <c r="G17" s="111"/>
      <c r="H17" s="111"/>
      <c r="I17" s="111"/>
      <c r="J17" s="111"/>
      <c r="K17" s="69"/>
      <c r="L17" s="69"/>
      <c r="M17" s="69"/>
      <c r="N17" s="69"/>
      <c r="O17" s="69"/>
      <c r="P17" s="69"/>
      <c r="Q17" s="69"/>
    </row>
    <row r="18" spans="2:17" x14ac:dyDescent="0.3">
      <c r="B18" s="111"/>
      <c r="C18" s="111"/>
      <c r="D18" s="111"/>
      <c r="E18" s="111"/>
      <c r="F18" s="111"/>
      <c r="G18" s="111"/>
      <c r="H18" s="111"/>
      <c r="I18" s="111"/>
      <c r="J18" s="111"/>
      <c r="K18" s="69"/>
      <c r="L18" s="69"/>
      <c r="M18" s="69"/>
      <c r="N18" s="69"/>
      <c r="O18" s="69"/>
      <c r="P18" s="69"/>
      <c r="Q18" s="69"/>
    </row>
    <row r="19" spans="2:17" x14ac:dyDescent="0.3"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</row>
    <row r="20" spans="2:17" x14ac:dyDescent="0.3"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</row>
    <row r="21" spans="2:17" x14ac:dyDescent="0.3"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</row>
  </sheetData>
  <mergeCells count="1">
    <mergeCell ref="B9:J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7C300-655E-4737-82E2-2E6998E001B3}">
  <sheetPr>
    <pageSetUpPr fitToPage="1"/>
  </sheetPr>
  <dimension ref="A1:F43"/>
  <sheetViews>
    <sheetView topLeftCell="A34" workbookViewId="0">
      <selection sqref="A1:F43"/>
    </sheetView>
  </sheetViews>
  <sheetFormatPr defaultRowHeight="14.4" x14ac:dyDescent="0.3"/>
  <cols>
    <col min="1" max="1" width="5.109375" style="107" customWidth="1"/>
    <col min="2" max="2" width="51.33203125" customWidth="1"/>
    <col min="3" max="3" width="8.77734375" bestFit="1" customWidth="1"/>
    <col min="4" max="4" width="9.77734375" bestFit="1" customWidth="1"/>
    <col min="5" max="5" width="14.88671875" bestFit="1" customWidth="1"/>
    <col min="6" max="6" width="13" bestFit="1" customWidth="1"/>
    <col min="7" max="7" width="14.88671875" customWidth="1"/>
  </cols>
  <sheetData>
    <row r="1" spans="1:6" ht="18.600000000000001" thickTop="1" x14ac:dyDescent="0.35">
      <c r="A1" s="23"/>
      <c r="B1" s="24"/>
      <c r="C1" s="24"/>
      <c r="D1" s="24"/>
      <c r="E1" s="24"/>
      <c r="F1" s="25"/>
    </row>
    <row r="2" spans="1:6" ht="25.8" thickBot="1" x14ac:dyDescent="0.5">
      <c r="A2" s="26" t="s">
        <v>81</v>
      </c>
      <c r="B2" s="27"/>
      <c r="C2" s="27"/>
      <c r="D2" s="27"/>
      <c r="E2" s="27"/>
      <c r="F2" s="28"/>
    </row>
    <row r="3" spans="1:6" ht="28.2" thickTop="1" x14ac:dyDescent="0.3">
      <c r="A3" s="2" t="s">
        <v>1</v>
      </c>
      <c r="B3" s="3" t="s">
        <v>2</v>
      </c>
      <c r="C3" s="4" t="s">
        <v>3</v>
      </c>
      <c r="D3" s="68"/>
      <c r="E3" s="3" t="s">
        <v>4</v>
      </c>
      <c r="F3" s="5" t="s">
        <v>5</v>
      </c>
    </row>
    <row r="4" spans="1:6" x14ac:dyDescent="0.3">
      <c r="A4" s="6"/>
      <c r="B4" s="7"/>
      <c r="C4" s="8" t="s">
        <v>6</v>
      </c>
      <c r="D4" s="9" t="s">
        <v>7</v>
      </c>
      <c r="E4" s="7"/>
      <c r="F4" s="10"/>
    </row>
    <row r="5" spans="1:6" ht="15" thickBot="1" x14ac:dyDescent="0.35">
      <c r="A5" s="11">
        <v>1</v>
      </c>
      <c r="B5" s="12" t="s">
        <v>50</v>
      </c>
      <c r="C5" s="13">
        <v>3</v>
      </c>
      <c r="D5" s="13">
        <v>4</v>
      </c>
      <c r="E5" s="12" t="s">
        <v>51</v>
      </c>
      <c r="F5" s="14">
        <v>6</v>
      </c>
    </row>
    <row r="6" spans="1:6" ht="16.2" thickTop="1" x14ac:dyDescent="0.3">
      <c r="A6" s="128" t="s">
        <v>93</v>
      </c>
      <c r="B6" s="129"/>
      <c r="C6" s="129"/>
      <c r="D6" s="129"/>
      <c r="E6" s="129"/>
      <c r="F6" s="130"/>
    </row>
    <row r="7" spans="1:6" x14ac:dyDescent="0.3">
      <c r="A7" s="29" t="s">
        <v>19</v>
      </c>
      <c r="B7" s="30" t="s">
        <v>20</v>
      </c>
      <c r="C7" s="31"/>
      <c r="D7" s="32"/>
      <c r="E7" s="33"/>
      <c r="F7" s="34"/>
    </row>
    <row r="8" spans="1:6" ht="27.6" x14ac:dyDescent="0.3">
      <c r="A8" s="15">
        <v>1</v>
      </c>
      <c r="B8" s="16" t="s">
        <v>80</v>
      </c>
      <c r="C8" s="17" t="s">
        <v>21</v>
      </c>
      <c r="D8" s="18">
        <f>220*2.5</f>
        <v>550</v>
      </c>
      <c r="E8" s="19">
        <v>17</v>
      </c>
      <c r="F8" s="20">
        <f>ROUND($D8*E8,2)</f>
        <v>9350</v>
      </c>
    </row>
    <row r="9" spans="1:6" ht="15.6" x14ac:dyDescent="0.3">
      <c r="A9" s="15">
        <v>2</v>
      </c>
      <c r="B9" s="16" t="s">
        <v>22</v>
      </c>
      <c r="C9" s="17" t="s">
        <v>21</v>
      </c>
      <c r="D9" s="18">
        <f>D8</f>
        <v>550</v>
      </c>
      <c r="E9" s="19">
        <v>15</v>
      </c>
      <c r="F9" s="20">
        <f>ROUND($D9*E9,2)</f>
        <v>8250</v>
      </c>
    </row>
    <row r="10" spans="1:6" ht="15.6" x14ac:dyDescent="0.3">
      <c r="A10" s="15">
        <v>3</v>
      </c>
      <c r="B10" s="16" t="s">
        <v>83</v>
      </c>
      <c r="C10" s="17" t="s">
        <v>21</v>
      </c>
      <c r="D10" s="18">
        <f>150*2</f>
        <v>300</v>
      </c>
      <c r="E10" s="19">
        <v>20</v>
      </c>
      <c r="F10" s="20">
        <f>ROUND($D10*E10,2)</f>
        <v>6000</v>
      </c>
    </row>
    <row r="11" spans="1:6" ht="15.6" x14ac:dyDescent="0.3">
      <c r="A11" s="35" t="s">
        <v>19</v>
      </c>
      <c r="B11" s="36" t="s">
        <v>23</v>
      </c>
      <c r="C11" s="37" t="s">
        <v>24</v>
      </c>
      <c r="D11" s="38" t="s">
        <v>24</v>
      </c>
      <c r="E11" s="38" t="s">
        <v>24</v>
      </c>
      <c r="F11" s="39" t="s">
        <v>24</v>
      </c>
    </row>
    <row r="12" spans="1:6" x14ac:dyDescent="0.3">
      <c r="A12" s="29" t="s">
        <v>19</v>
      </c>
      <c r="B12" s="30" t="s">
        <v>25</v>
      </c>
      <c r="C12" s="31"/>
      <c r="D12" s="40"/>
      <c r="E12" s="41"/>
      <c r="F12" s="42"/>
    </row>
    <row r="13" spans="1:6" ht="27.6" x14ac:dyDescent="0.3">
      <c r="A13" s="15">
        <v>3</v>
      </c>
      <c r="B13" s="43" t="s">
        <v>54</v>
      </c>
      <c r="C13" s="17" t="s">
        <v>21</v>
      </c>
      <c r="D13" s="18">
        <v>805</v>
      </c>
      <c r="E13" s="19">
        <v>21</v>
      </c>
      <c r="F13" s="20">
        <f>ROUND($D13*E13,2)</f>
        <v>16905</v>
      </c>
    </row>
    <row r="14" spans="1:6" ht="27.6" x14ac:dyDescent="0.3">
      <c r="A14" s="15">
        <v>4</v>
      </c>
      <c r="B14" s="43" t="s">
        <v>86</v>
      </c>
      <c r="C14" s="17" t="s">
        <v>21</v>
      </c>
      <c r="D14" s="18">
        <v>805</v>
      </c>
      <c r="E14" s="19">
        <f>3*21</f>
        <v>63</v>
      </c>
      <c r="F14" s="20">
        <f>ROUND($D14*E14,2)</f>
        <v>50715</v>
      </c>
    </row>
    <row r="15" spans="1:6" ht="15.6" x14ac:dyDescent="0.3">
      <c r="A15" s="44" t="s">
        <v>19</v>
      </c>
      <c r="B15" s="36" t="s">
        <v>26</v>
      </c>
      <c r="C15" s="37" t="s">
        <v>24</v>
      </c>
      <c r="D15" s="45" t="s">
        <v>24</v>
      </c>
      <c r="E15" s="46" t="s">
        <v>24</v>
      </c>
      <c r="F15" s="47" t="s">
        <v>24</v>
      </c>
    </row>
    <row r="16" spans="1:6" x14ac:dyDescent="0.3">
      <c r="A16" s="29" t="s">
        <v>19</v>
      </c>
      <c r="B16" s="30" t="s">
        <v>27</v>
      </c>
      <c r="C16" s="31"/>
      <c r="D16" s="48"/>
      <c r="E16" s="49"/>
      <c r="F16" s="50"/>
    </row>
    <row r="17" spans="1:6" ht="27.6" x14ac:dyDescent="0.3">
      <c r="A17" s="15">
        <f>MAX(A11:A16)+1</f>
        <v>5</v>
      </c>
      <c r="B17" s="16" t="s">
        <v>84</v>
      </c>
      <c r="C17" s="17" t="s">
        <v>21</v>
      </c>
      <c r="D17" s="18">
        <v>805</v>
      </c>
      <c r="E17" s="19">
        <v>55</v>
      </c>
      <c r="F17" s="20">
        <f>ROUND($D17*E17,2)</f>
        <v>44275</v>
      </c>
    </row>
    <row r="18" spans="1:6" ht="27.6" x14ac:dyDescent="0.3">
      <c r="A18" s="15">
        <f>MAX(A12:A17)+1</f>
        <v>6</v>
      </c>
      <c r="B18" s="16" t="s">
        <v>85</v>
      </c>
      <c r="C18" s="17" t="s">
        <v>21</v>
      </c>
      <c r="D18" s="18">
        <v>805</v>
      </c>
      <c r="E18" s="19">
        <v>56</v>
      </c>
      <c r="F18" s="20">
        <f>ROUND($D18*E18,2)</f>
        <v>45080</v>
      </c>
    </row>
    <row r="19" spans="1:6" x14ac:dyDescent="0.3">
      <c r="A19" s="106" t="s">
        <v>19</v>
      </c>
      <c r="B19" s="30" t="s">
        <v>29</v>
      </c>
      <c r="C19" s="51"/>
      <c r="D19" s="52"/>
      <c r="E19" s="52"/>
      <c r="F19" s="53"/>
    </row>
    <row r="20" spans="1:6" ht="15.6" x14ac:dyDescent="0.3">
      <c r="A20" s="15">
        <f>MAX(A11:A19)+1</f>
        <v>7</v>
      </c>
      <c r="B20" s="16" t="s">
        <v>30</v>
      </c>
      <c r="C20" s="17" t="s">
        <v>21</v>
      </c>
      <c r="D20" s="18">
        <v>805</v>
      </c>
      <c r="E20" s="19">
        <v>60</v>
      </c>
      <c r="F20" s="20">
        <f>ROUND($D20*E20,2)</f>
        <v>48300</v>
      </c>
    </row>
    <row r="21" spans="1:6" ht="15.6" x14ac:dyDescent="0.3">
      <c r="A21" s="15">
        <f>MAX(A12:A20)+1</f>
        <v>8</v>
      </c>
      <c r="B21" s="16" t="s">
        <v>30</v>
      </c>
      <c r="C21" s="17" t="s">
        <v>21</v>
      </c>
      <c r="D21" s="18">
        <v>805</v>
      </c>
      <c r="E21" s="19">
        <v>61</v>
      </c>
      <c r="F21" s="20">
        <f>ROUND($D21*E21,2)</f>
        <v>49105</v>
      </c>
    </row>
    <row r="22" spans="1:6" ht="15.6" x14ac:dyDescent="0.3">
      <c r="A22" s="44" t="s">
        <v>19</v>
      </c>
      <c r="B22" s="36" t="s">
        <v>31</v>
      </c>
      <c r="C22" s="37" t="s">
        <v>24</v>
      </c>
      <c r="D22" s="45" t="s">
        <v>24</v>
      </c>
      <c r="E22" s="46" t="s">
        <v>24</v>
      </c>
      <c r="F22" s="47" t="s">
        <v>24</v>
      </c>
    </row>
    <row r="23" spans="1:6" x14ac:dyDescent="0.3">
      <c r="A23" s="29" t="s">
        <v>19</v>
      </c>
      <c r="B23" s="30" t="s">
        <v>91</v>
      </c>
      <c r="C23" s="31"/>
      <c r="D23" s="40"/>
      <c r="E23" s="49"/>
      <c r="F23" s="50"/>
    </row>
    <row r="24" spans="1:6" ht="27.6" x14ac:dyDescent="0.3">
      <c r="A24" s="15">
        <f>MAX(A13:A23)+1</f>
        <v>9</v>
      </c>
      <c r="B24" s="16" t="s">
        <v>33</v>
      </c>
      <c r="C24" s="17" t="s">
        <v>21</v>
      </c>
      <c r="D24" s="18">
        <v>805</v>
      </c>
      <c r="E24" s="19">
        <v>130</v>
      </c>
      <c r="F24" s="20">
        <f>ROUND($D24*E24,2)</f>
        <v>104650</v>
      </c>
    </row>
    <row r="25" spans="1:6" ht="41.4" x14ac:dyDescent="0.3">
      <c r="A25" s="15">
        <f>MAX(A15:A24)+1</f>
        <v>10</v>
      </c>
      <c r="B25" s="16" t="s">
        <v>90</v>
      </c>
      <c r="C25" s="17" t="s">
        <v>21</v>
      </c>
      <c r="D25" s="18">
        <v>200</v>
      </c>
      <c r="E25" s="19">
        <v>140</v>
      </c>
      <c r="F25" s="20">
        <f>ROUND($D25*E25,2)</f>
        <v>28000</v>
      </c>
    </row>
    <row r="26" spans="1:6" ht="15.6" x14ac:dyDescent="0.3">
      <c r="A26" s="15">
        <f>MAX(A16:A25)+1</f>
        <v>11</v>
      </c>
      <c r="B26" s="16" t="s">
        <v>89</v>
      </c>
      <c r="C26" s="17" t="s">
        <v>21</v>
      </c>
      <c r="D26" s="18">
        <v>805</v>
      </c>
      <c r="E26" s="19">
        <v>45</v>
      </c>
      <c r="F26" s="20">
        <f>ROUND($D26*E26,2)</f>
        <v>36225</v>
      </c>
    </row>
    <row r="27" spans="1:6" ht="15.6" x14ac:dyDescent="0.3">
      <c r="A27" s="15">
        <f>MAX(A17:A26)+1</f>
        <v>12</v>
      </c>
      <c r="B27" s="16" t="s">
        <v>92</v>
      </c>
      <c r="C27" s="17" t="s">
        <v>21</v>
      </c>
      <c r="D27" s="18">
        <f>8*5*0.4</f>
        <v>16</v>
      </c>
      <c r="E27" s="19">
        <v>120</v>
      </c>
      <c r="F27" s="20">
        <f>ROUND($D27*E27,2)</f>
        <v>1920</v>
      </c>
    </row>
    <row r="28" spans="1:6" ht="15.6" x14ac:dyDescent="0.3">
      <c r="A28" s="44" t="s">
        <v>19</v>
      </c>
      <c r="B28" s="36" t="s">
        <v>35</v>
      </c>
      <c r="C28" s="37" t="s">
        <v>24</v>
      </c>
      <c r="D28" s="45" t="s">
        <v>24</v>
      </c>
      <c r="E28" s="46" t="s">
        <v>24</v>
      </c>
      <c r="F28" s="47" t="s">
        <v>24</v>
      </c>
    </row>
    <row r="29" spans="1:6" ht="15.6" x14ac:dyDescent="0.3">
      <c r="A29" s="29" t="s">
        <v>19</v>
      </c>
      <c r="B29" s="30" t="s">
        <v>36</v>
      </c>
      <c r="C29" s="54"/>
      <c r="D29" s="55"/>
      <c r="E29" s="56"/>
      <c r="F29" s="57"/>
    </row>
    <row r="30" spans="1:6" ht="27.6" x14ac:dyDescent="0.3">
      <c r="A30" s="15">
        <v>12</v>
      </c>
      <c r="B30" s="16" t="s">
        <v>37</v>
      </c>
      <c r="C30" s="17" t="s">
        <v>10</v>
      </c>
      <c r="D30" s="18">
        <v>50</v>
      </c>
      <c r="E30" s="19">
        <v>115</v>
      </c>
      <c r="F30" s="20">
        <f>ROUND($D30*E30,2)</f>
        <v>5750</v>
      </c>
    </row>
    <row r="31" spans="1:6" ht="15.6" x14ac:dyDescent="0.3">
      <c r="A31" s="29" t="s">
        <v>19</v>
      </c>
      <c r="B31" s="30" t="s">
        <v>38</v>
      </c>
      <c r="C31" s="54"/>
      <c r="D31" s="58"/>
      <c r="E31" s="59"/>
      <c r="F31" s="60"/>
    </row>
    <row r="32" spans="1:6" ht="27.6" x14ac:dyDescent="0.3">
      <c r="A32" s="15">
        <f>MAX(A24:A31)+1</f>
        <v>13</v>
      </c>
      <c r="B32" s="16" t="s">
        <v>39</v>
      </c>
      <c r="C32" s="17" t="s">
        <v>10</v>
      </c>
      <c r="D32" s="18">
        <f>400*4</f>
        <v>1600</v>
      </c>
      <c r="E32" s="19">
        <v>65</v>
      </c>
      <c r="F32" s="20">
        <f>ROUND($D32*E32,2)</f>
        <v>104000</v>
      </c>
    </row>
    <row r="33" spans="1:6" x14ac:dyDescent="0.3">
      <c r="A33" s="15">
        <f>MAX(A25:A32)+1</f>
        <v>14</v>
      </c>
      <c r="B33" s="16" t="s">
        <v>87</v>
      </c>
      <c r="C33" s="17" t="s">
        <v>88</v>
      </c>
      <c r="D33" s="18">
        <v>1</v>
      </c>
      <c r="E33" s="19">
        <v>15000</v>
      </c>
      <c r="F33" s="20">
        <f>ROUND($D33*E33,2)</f>
        <v>15000</v>
      </c>
    </row>
    <row r="34" spans="1:6" ht="15.6" x14ac:dyDescent="0.3">
      <c r="A34" s="44" t="s">
        <v>19</v>
      </c>
      <c r="B34" s="36" t="s">
        <v>99</v>
      </c>
      <c r="C34" s="37" t="s">
        <v>24</v>
      </c>
      <c r="D34" s="45" t="s">
        <v>24</v>
      </c>
      <c r="E34" s="46" t="s">
        <v>24</v>
      </c>
      <c r="F34" s="47" t="s">
        <v>24</v>
      </c>
    </row>
    <row r="35" spans="1:6" ht="15.6" x14ac:dyDescent="0.3">
      <c r="A35" s="29" t="s">
        <v>19</v>
      </c>
      <c r="B35" s="30" t="s">
        <v>96</v>
      </c>
      <c r="C35" s="54"/>
      <c r="D35" s="55"/>
      <c r="E35" s="56"/>
      <c r="F35" s="57"/>
    </row>
    <row r="36" spans="1:6" x14ac:dyDescent="0.3">
      <c r="A36" s="15">
        <v>15</v>
      </c>
      <c r="B36" s="16" t="s">
        <v>97</v>
      </c>
      <c r="C36" s="17" t="s">
        <v>13</v>
      </c>
      <c r="D36" s="18">
        <v>2</v>
      </c>
      <c r="E36" s="19">
        <v>1000</v>
      </c>
      <c r="F36" s="20">
        <f>ROUND($D36*E36,2)</f>
        <v>2000</v>
      </c>
    </row>
    <row r="37" spans="1:6" x14ac:dyDescent="0.3">
      <c r="A37" s="15">
        <v>16</v>
      </c>
      <c r="B37" s="16" t="s">
        <v>98</v>
      </c>
      <c r="C37" s="17" t="s">
        <v>13</v>
      </c>
      <c r="D37" s="18">
        <v>9</v>
      </c>
      <c r="E37" s="19">
        <v>1500</v>
      </c>
      <c r="F37" s="20">
        <f>ROUND($D37*E37,2)</f>
        <v>13500</v>
      </c>
    </row>
    <row r="38" spans="1:6" x14ac:dyDescent="0.3">
      <c r="A38" s="15">
        <v>17</v>
      </c>
      <c r="B38" s="16" t="s">
        <v>100</v>
      </c>
      <c r="C38" s="17" t="s">
        <v>13</v>
      </c>
      <c r="D38" s="18">
        <v>3</v>
      </c>
      <c r="E38" s="19">
        <v>2500</v>
      </c>
      <c r="F38" s="20">
        <f>ROUND($D38*E38,2)</f>
        <v>7500</v>
      </c>
    </row>
    <row r="39" spans="1:6" ht="15" thickBot="1" x14ac:dyDescent="0.35">
      <c r="A39" s="61"/>
      <c r="B39" s="62"/>
      <c r="C39" s="63"/>
      <c r="D39" s="63"/>
      <c r="E39" s="64" t="s">
        <v>40</v>
      </c>
      <c r="F39" s="65">
        <f>SUBTOTAL(9,F8:F32)</f>
        <v>558525</v>
      </c>
    </row>
    <row r="40" spans="1:6" ht="15" thickTop="1" x14ac:dyDescent="0.3">
      <c r="A40" s="66"/>
      <c r="B40" s="66"/>
      <c r="C40" s="131" t="s">
        <v>15</v>
      </c>
      <c r="D40" s="132"/>
      <c r="E40" s="133"/>
      <c r="F40" s="67">
        <f>SUBTOTAL(9,F6:F39)</f>
        <v>596525</v>
      </c>
    </row>
    <row r="41" spans="1:6" x14ac:dyDescent="0.3">
      <c r="A41" s="66"/>
      <c r="B41" s="66"/>
      <c r="C41" s="134" t="s">
        <v>16</v>
      </c>
      <c r="D41" s="118"/>
      <c r="E41" s="119"/>
      <c r="F41" s="21">
        <f>ROUND(F40*0.23,2)</f>
        <v>137200.75</v>
      </c>
    </row>
    <row r="42" spans="1:6" ht="15" thickBot="1" x14ac:dyDescent="0.35">
      <c r="A42" s="66"/>
      <c r="B42" s="66"/>
      <c r="C42" s="135" t="s">
        <v>17</v>
      </c>
      <c r="D42" s="136"/>
      <c r="E42" s="137"/>
      <c r="F42" s="22">
        <f>SUM(F40:F41)</f>
        <v>733725.75</v>
      </c>
    </row>
    <row r="43" spans="1:6" ht="15" thickTop="1" x14ac:dyDescent="0.3"/>
  </sheetData>
  <mergeCells count="4">
    <mergeCell ref="A6:F6"/>
    <mergeCell ref="C40:E40"/>
    <mergeCell ref="C41:E41"/>
    <mergeCell ref="C42:E42"/>
  </mergeCells>
  <phoneticPr fontId="17" type="noConversion"/>
  <conditionalFormatting sqref="E8:F10">
    <cfRule type="cellIs" dxfId="5" priority="6" stopIfTrue="1" operator="equal">
      <formula>0</formula>
    </cfRule>
  </conditionalFormatting>
  <conditionalFormatting sqref="E13:F14">
    <cfRule type="cellIs" dxfId="4" priority="9" stopIfTrue="1" operator="equal">
      <formula>0</formula>
    </cfRule>
  </conditionalFormatting>
  <conditionalFormatting sqref="E17:F18 E20:F21 E32:F33">
    <cfRule type="cellIs" dxfId="3" priority="7" stopIfTrue="1" operator="equal">
      <formula>0</formula>
    </cfRule>
  </conditionalFormatting>
  <conditionalFormatting sqref="E24:F27">
    <cfRule type="cellIs" dxfId="2" priority="3" stopIfTrue="1" operator="equal">
      <formula>0</formula>
    </cfRule>
  </conditionalFormatting>
  <conditionalFormatting sqref="E30:F30">
    <cfRule type="cellIs" dxfId="1" priority="4" stopIfTrue="1" operator="equal">
      <formula>0</formula>
    </cfRule>
  </conditionalFormatting>
  <conditionalFormatting sqref="E36:F38">
    <cfRule type="cellIs" dxfId="0" priority="1" stopIfTrue="1" operator="equal">
      <formula>0</formula>
    </cfRule>
  </conditionalFormatting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opLeftCell="A16" workbookViewId="0">
      <selection activeCell="H33" sqref="H33"/>
    </sheetView>
  </sheetViews>
  <sheetFormatPr defaultRowHeight="14.4" x14ac:dyDescent="0.3"/>
  <cols>
    <col min="3" max="3" width="45.44140625" style="1" customWidth="1"/>
    <col min="4" max="4" width="12.6640625" bestFit="1" customWidth="1"/>
    <col min="6" max="6" width="10.33203125" customWidth="1"/>
    <col min="7" max="7" width="10.109375" bestFit="1" customWidth="1"/>
  </cols>
  <sheetData>
    <row r="1" spans="1:8" ht="18" x14ac:dyDescent="0.35">
      <c r="A1" s="112" t="s">
        <v>52</v>
      </c>
      <c r="B1" s="112"/>
      <c r="C1" s="112"/>
      <c r="D1" s="112"/>
      <c r="E1" s="112"/>
      <c r="F1" s="112"/>
      <c r="G1" s="112"/>
      <c r="H1" s="113"/>
    </row>
    <row r="2" spans="1:8" x14ac:dyDescent="0.3">
      <c r="C2" s="1" t="s">
        <v>0</v>
      </c>
    </row>
    <row r="3" spans="1:8" ht="28.8" x14ac:dyDescent="0.3">
      <c r="C3" s="1" t="s">
        <v>57</v>
      </c>
      <c r="D3">
        <f>580*6</f>
        <v>3480</v>
      </c>
    </row>
    <row r="4" spans="1:8" ht="28.8" x14ac:dyDescent="0.3">
      <c r="C4" s="1" t="s">
        <v>48</v>
      </c>
      <c r="D4">
        <f>5*6*6</f>
        <v>180</v>
      </c>
    </row>
    <row r="5" spans="1:8" x14ac:dyDescent="0.3">
      <c r="C5" s="1" t="s">
        <v>67</v>
      </c>
      <c r="D5">
        <f>410*2</f>
        <v>820</v>
      </c>
      <c r="E5" s="123">
        <f>D5+D6</f>
        <v>1900</v>
      </c>
    </row>
    <row r="6" spans="1:8" x14ac:dyDescent="0.3">
      <c r="C6" s="1" t="s">
        <v>64</v>
      </c>
      <c r="D6">
        <f>540*2</f>
        <v>1080</v>
      </c>
      <c r="E6" s="123"/>
    </row>
    <row r="7" spans="1:8" x14ac:dyDescent="0.3">
      <c r="C7" s="1" t="s">
        <v>65</v>
      </c>
      <c r="D7">
        <f>540*2+5*15</f>
        <v>1155</v>
      </c>
    </row>
    <row r="8" spans="1:8" ht="15" thickBot="1" x14ac:dyDescent="0.35">
      <c r="C8" s="1" t="s">
        <v>66</v>
      </c>
      <c r="D8">
        <f>21*15</f>
        <v>315</v>
      </c>
    </row>
    <row r="9" spans="1:8" ht="15" customHeight="1" thickBot="1" x14ac:dyDescent="0.35">
      <c r="B9" s="124" t="s">
        <v>52</v>
      </c>
      <c r="C9" s="125"/>
      <c r="D9" s="125"/>
      <c r="E9" s="125"/>
      <c r="F9" s="125"/>
      <c r="G9" s="126"/>
    </row>
    <row r="10" spans="1:8" ht="42" thickBot="1" x14ac:dyDescent="0.35">
      <c r="B10" s="101" t="s">
        <v>1</v>
      </c>
      <c r="C10" s="104" t="s">
        <v>2</v>
      </c>
      <c r="D10" s="102" t="s">
        <v>3</v>
      </c>
      <c r="E10" s="105"/>
      <c r="F10" s="104" t="s">
        <v>4</v>
      </c>
      <c r="G10" s="103" t="s">
        <v>5</v>
      </c>
    </row>
    <row r="11" spans="1:8" ht="15" thickBot="1" x14ac:dyDescent="0.35">
      <c r="B11" s="101"/>
      <c r="C11" s="127" t="s">
        <v>101</v>
      </c>
      <c r="D11" s="127"/>
      <c r="E11" s="127"/>
      <c r="F11" s="127"/>
      <c r="G11" s="103"/>
    </row>
    <row r="12" spans="1:8" ht="15" thickBot="1" x14ac:dyDescent="0.35">
      <c r="B12" s="70"/>
      <c r="C12" s="71"/>
      <c r="D12" s="72" t="s">
        <v>6</v>
      </c>
      <c r="E12" s="74" t="s">
        <v>7</v>
      </c>
      <c r="F12" s="71"/>
      <c r="G12" s="73"/>
    </row>
    <row r="13" spans="1:8" ht="15" thickBot="1" x14ac:dyDescent="0.35">
      <c r="B13" s="81">
        <v>1</v>
      </c>
      <c r="C13" s="84" t="s">
        <v>50</v>
      </c>
      <c r="D13" s="82">
        <v>3</v>
      </c>
      <c r="E13" s="85">
        <v>4</v>
      </c>
      <c r="F13" s="84" t="s">
        <v>51</v>
      </c>
      <c r="G13" s="83">
        <v>6</v>
      </c>
    </row>
    <row r="14" spans="1:8" x14ac:dyDescent="0.3">
      <c r="B14" s="78">
        <v>1</v>
      </c>
      <c r="C14" s="86" t="s">
        <v>49</v>
      </c>
      <c r="D14" s="95" t="s">
        <v>8</v>
      </c>
      <c r="E14" s="89">
        <f>D3+D4</f>
        <v>3660</v>
      </c>
      <c r="F14" s="98">
        <v>20</v>
      </c>
      <c r="G14" s="92">
        <f>ROUND($E14*F14,2)</f>
        <v>73200</v>
      </c>
    </row>
    <row r="15" spans="1:8" x14ac:dyDescent="0.3">
      <c r="B15" s="79">
        <f>B14+1</f>
        <v>2</v>
      </c>
      <c r="C15" s="87" t="s">
        <v>9</v>
      </c>
      <c r="D15" s="96" t="s">
        <v>10</v>
      </c>
      <c r="E15" s="90">
        <f>D7</f>
        <v>1155</v>
      </c>
      <c r="F15" s="99">
        <v>17</v>
      </c>
      <c r="G15" s="93">
        <f>ROUND($E15*F15,2)</f>
        <v>19635</v>
      </c>
    </row>
    <row r="16" spans="1:8" ht="27.6" x14ac:dyDescent="0.3">
      <c r="B16" s="79">
        <v>3</v>
      </c>
      <c r="C16" s="87" t="s">
        <v>11</v>
      </c>
      <c r="D16" s="96" t="s">
        <v>10</v>
      </c>
      <c r="E16" s="90">
        <f>D7</f>
        <v>1155</v>
      </c>
      <c r="F16" s="99">
        <v>115</v>
      </c>
      <c r="G16" s="93">
        <f t="shared" ref="G16" si="0">ROUND($E16*F16,2)</f>
        <v>132825</v>
      </c>
    </row>
    <row r="17" spans="2:7" x14ac:dyDescent="0.3">
      <c r="B17" s="79">
        <v>4</v>
      </c>
      <c r="C17" s="87" t="s">
        <v>43</v>
      </c>
      <c r="D17" s="96" t="s">
        <v>8</v>
      </c>
      <c r="E17" s="90">
        <f>D3+D4</f>
        <v>3660</v>
      </c>
      <c r="F17" s="99">
        <v>23</v>
      </c>
      <c r="G17" s="93">
        <f>ROUND($E17*F17,2)</f>
        <v>84180</v>
      </c>
    </row>
    <row r="18" spans="2:7" x14ac:dyDescent="0.3">
      <c r="B18" s="79">
        <v>5</v>
      </c>
      <c r="C18" s="87" t="s">
        <v>44</v>
      </c>
      <c r="D18" s="96" t="s">
        <v>41</v>
      </c>
      <c r="E18" s="90">
        <f>E14</f>
        <v>3660</v>
      </c>
      <c r="F18" s="99">
        <v>24</v>
      </c>
      <c r="G18" s="93">
        <f t="shared" ref="G18:G19" si="1">ROUND($E18*F18,2)</f>
        <v>87840</v>
      </c>
    </row>
    <row r="19" spans="2:7" x14ac:dyDescent="0.3">
      <c r="B19" s="79">
        <v>6</v>
      </c>
      <c r="C19" s="87" t="s">
        <v>55</v>
      </c>
      <c r="D19" s="96" t="s">
        <v>8</v>
      </c>
      <c r="E19" s="90">
        <f>E14</f>
        <v>3660</v>
      </c>
      <c r="F19" s="99">
        <v>6</v>
      </c>
      <c r="G19" s="93">
        <f t="shared" si="1"/>
        <v>21960</v>
      </c>
    </row>
    <row r="20" spans="2:7" x14ac:dyDescent="0.3">
      <c r="B20" s="79">
        <v>7</v>
      </c>
      <c r="C20" s="87" t="s">
        <v>42</v>
      </c>
      <c r="D20" s="96" t="s">
        <v>8</v>
      </c>
      <c r="E20" s="90">
        <f>E17</f>
        <v>3660</v>
      </c>
      <c r="F20" s="99">
        <v>45</v>
      </c>
      <c r="G20" s="93">
        <f>ROUND($E20*F20,2)</f>
        <v>164700</v>
      </c>
    </row>
    <row r="21" spans="2:7" x14ac:dyDescent="0.3">
      <c r="B21" s="79">
        <v>8</v>
      </c>
      <c r="C21" s="87" t="s">
        <v>56</v>
      </c>
      <c r="D21" s="96" t="s">
        <v>8</v>
      </c>
      <c r="E21" s="90">
        <f>538/8+5*12</f>
        <v>127.25</v>
      </c>
      <c r="F21" s="99">
        <v>22</v>
      </c>
      <c r="G21" s="93">
        <f t="shared" ref="G21:G23" si="2">ROUND($E21*F21,2)</f>
        <v>2799.5</v>
      </c>
    </row>
    <row r="22" spans="2:7" x14ac:dyDescent="0.3">
      <c r="B22" s="79">
        <v>9</v>
      </c>
      <c r="C22" s="87" t="s">
        <v>12</v>
      </c>
      <c r="D22" s="96" t="s">
        <v>13</v>
      </c>
      <c r="E22" s="90">
        <v>117</v>
      </c>
      <c r="F22" s="99">
        <v>500</v>
      </c>
      <c r="G22" s="93">
        <f t="shared" si="2"/>
        <v>58500</v>
      </c>
    </row>
    <row r="23" spans="2:7" x14ac:dyDescent="0.3">
      <c r="B23" s="79">
        <v>10</v>
      </c>
      <c r="C23" s="87" t="s">
        <v>14</v>
      </c>
      <c r="D23" s="96" t="s">
        <v>13</v>
      </c>
      <c r="E23" s="90">
        <v>10</v>
      </c>
      <c r="F23" s="99">
        <v>700</v>
      </c>
      <c r="G23" s="93">
        <f t="shared" si="2"/>
        <v>7000</v>
      </c>
    </row>
    <row r="24" spans="2:7" x14ac:dyDescent="0.3">
      <c r="B24" s="79">
        <v>11</v>
      </c>
      <c r="C24" s="87" t="s">
        <v>46</v>
      </c>
      <c r="D24" s="96" t="s">
        <v>13</v>
      </c>
      <c r="E24" s="90">
        <v>2</v>
      </c>
      <c r="F24" s="99">
        <v>1500</v>
      </c>
      <c r="G24" s="93">
        <f>ROUND($E24*F24,2)</f>
        <v>3000</v>
      </c>
    </row>
    <row r="25" spans="2:7" ht="15" thickBot="1" x14ac:dyDescent="0.35">
      <c r="B25" s="80">
        <f t="shared" ref="B25" si="3">B24+1</f>
        <v>12</v>
      </c>
      <c r="C25" s="88" t="s">
        <v>47</v>
      </c>
      <c r="D25" s="97" t="s">
        <v>13</v>
      </c>
      <c r="E25" s="91">
        <v>1</v>
      </c>
      <c r="F25" s="100">
        <f>0.02*1400000</f>
        <v>28000</v>
      </c>
      <c r="G25" s="94">
        <f>ROUND($E25*F25,2)</f>
        <v>28000</v>
      </c>
    </row>
    <row r="26" spans="2:7" x14ac:dyDescent="0.3">
      <c r="D26" s="114" t="s">
        <v>15</v>
      </c>
      <c r="E26" s="115"/>
      <c r="F26" s="116"/>
      <c r="G26" s="75">
        <f>SUBTOTAL(9,G1:G25)</f>
        <v>683645.5</v>
      </c>
    </row>
    <row r="27" spans="2:7" x14ac:dyDescent="0.3">
      <c r="D27" s="117" t="s">
        <v>16</v>
      </c>
      <c r="E27" s="118"/>
      <c r="F27" s="119"/>
      <c r="G27" s="76">
        <f>ROUND(G26*0.23,2)</f>
        <v>157238.47</v>
      </c>
    </row>
    <row r="28" spans="2:7" ht="15" thickBot="1" x14ac:dyDescent="0.35">
      <c r="D28" s="120" t="s">
        <v>17</v>
      </c>
      <c r="E28" s="121"/>
      <c r="F28" s="122"/>
      <c r="G28" s="77">
        <f>SUM(G26:G27)</f>
        <v>840883.97</v>
      </c>
    </row>
    <row r="30" spans="2:7" ht="15" thickBot="1" x14ac:dyDescent="0.35"/>
    <row r="31" spans="2:7" ht="16.2" thickBot="1" x14ac:dyDescent="0.35">
      <c r="B31" s="108" t="s">
        <v>68</v>
      </c>
      <c r="C31" s="109" t="s">
        <v>69</v>
      </c>
      <c r="D31" s="110">
        <f>G28+'Sciegiennego chodniki'!F30</f>
        <v>1360128.47</v>
      </c>
    </row>
  </sheetData>
  <mergeCells count="7">
    <mergeCell ref="A1:H1"/>
    <mergeCell ref="D26:F26"/>
    <mergeCell ref="D27:F27"/>
    <mergeCell ref="D28:F28"/>
    <mergeCell ref="E5:E6"/>
    <mergeCell ref="B9:G9"/>
    <mergeCell ref="C11:F11"/>
  </mergeCells>
  <phoneticPr fontId="17" type="noConversion"/>
  <conditionalFormatting sqref="F14:G25">
    <cfRule type="cellIs" dxfId="34" priority="2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1"/>
  <sheetViews>
    <sheetView topLeftCell="A16" workbookViewId="0">
      <selection activeCell="F30" sqref="F30"/>
    </sheetView>
  </sheetViews>
  <sheetFormatPr defaultRowHeight="14.4" x14ac:dyDescent="0.3"/>
  <cols>
    <col min="1" max="1" width="5.109375" style="107" customWidth="1"/>
    <col min="2" max="2" width="51.33203125" customWidth="1"/>
    <col min="3" max="3" width="8.77734375" bestFit="1" customWidth="1"/>
    <col min="4" max="4" width="9.77734375" bestFit="1" customWidth="1"/>
    <col min="5" max="5" width="14.88671875" bestFit="1" customWidth="1"/>
    <col min="6" max="6" width="13" bestFit="1" customWidth="1"/>
  </cols>
  <sheetData>
    <row r="1" spans="1:8" ht="18.600000000000001" thickTop="1" x14ac:dyDescent="0.35">
      <c r="A1" s="23"/>
      <c r="B1" s="24"/>
      <c r="C1" s="24"/>
      <c r="D1" s="24"/>
      <c r="E1" s="24"/>
      <c r="F1" s="25"/>
    </row>
    <row r="2" spans="1:8" ht="25.8" thickBot="1" x14ac:dyDescent="0.5">
      <c r="A2" s="26" t="s">
        <v>52</v>
      </c>
      <c r="B2" s="27"/>
      <c r="C2" s="27"/>
      <c r="D2" s="27"/>
      <c r="E2" s="27"/>
      <c r="F2" s="28"/>
      <c r="H2">
        <v>1500</v>
      </c>
    </row>
    <row r="3" spans="1:8" ht="28.2" thickTop="1" x14ac:dyDescent="0.3">
      <c r="A3" s="2" t="s">
        <v>1</v>
      </c>
      <c r="B3" s="3" t="s">
        <v>2</v>
      </c>
      <c r="C3" s="4" t="s">
        <v>3</v>
      </c>
      <c r="D3" s="68"/>
      <c r="E3" s="3" t="s">
        <v>4</v>
      </c>
      <c r="F3" s="5" t="s">
        <v>5</v>
      </c>
    </row>
    <row r="4" spans="1:8" x14ac:dyDescent="0.3">
      <c r="A4" s="6"/>
      <c r="B4" s="7"/>
      <c r="C4" s="8" t="s">
        <v>6</v>
      </c>
      <c r="D4" s="9" t="s">
        <v>7</v>
      </c>
      <c r="E4" s="7"/>
      <c r="F4" s="10"/>
    </row>
    <row r="5" spans="1:8" ht="15" thickBot="1" x14ac:dyDescent="0.35">
      <c r="A5" s="11">
        <v>1</v>
      </c>
      <c r="B5" s="12" t="s">
        <v>50</v>
      </c>
      <c r="C5" s="13">
        <v>3</v>
      </c>
      <c r="D5" s="13">
        <v>4</v>
      </c>
      <c r="E5" s="12" t="s">
        <v>51</v>
      </c>
      <c r="F5" s="14">
        <v>6</v>
      </c>
    </row>
    <row r="6" spans="1:8" ht="16.2" thickTop="1" x14ac:dyDescent="0.3">
      <c r="A6" s="128" t="s">
        <v>102</v>
      </c>
      <c r="B6" s="129"/>
      <c r="C6" s="129"/>
      <c r="D6" s="129"/>
      <c r="E6" s="129"/>
      <c r="F6" s="130"/>
    </row>
    <row r="7" spans="1:8" x14ac:dyDescent="0.3">
      <c r="A7" s="29" t="s">
        <v>19</v>
      </c>
      <c r="B7" s="30" t="s">
        <v>20</v>
      </c>
      <c r="C7" s="31"/>
      <c r="D7" s="32"/>
      <c r="E7" s="33"/>
      <c r="F7" s="34"/>
    </row>
    <row r="8" spans="1:8" ht="27.6" x14ac:dyDescent="0.3">
      <c r="A8" s="15">
        <v>1</v>
      </c>
      <c r="B8" s="16" t="s">
        <v>80</v>
      </c>
      <c r="C8" s="17" t="s">
        <v>21</v>
      </c>
      <c r="D8" s="18">
        <f>H2</f>
        <v>1500</v>
      </c>
      <c r="E8" s="19">
        <v>17</v>
      </c>
      <c r="F8" s="20">
        <f>ROUND($D8*E8,2)</f>
        <v>25500</v>
      </c>
    </row>
    <row r="9" spans="1:8" ht="15.6" x14ac:dyDescent="0.3">
      <c r="A9" s="15">
        <v>2</v>
      </c>
      <c r="B9" s="16" t="s">
        <v>22</v>
      </c>
      <c r="C9" s="17" t="s">
        <v>21</v>
      </c>
      <c r="D9" s="18">
        <f>H2</f>
        <v>1500</v>
      </c>
      <c r="E9" s="19">
        <v>15</v>
      </c>
      <c r="F9" s="20">
        <f>ROUND($D9*E9,2)</f>
        <v>22500</v>
      </c>
    </row>
    <row r="10" spans="1:8" ht="15.6" x14ac:dyDescent="0.3">
      <c r="A10" s="35" t="s">
        <v>19</v>
      </c>
      <c r="B10" s="36" t="s">
        <v>23</v>
      </c>
      <c r="C10" s="37" t="s">
        <v>24</v>
      </c>
      <c r="D10" s="38" t="s">
        <v>24</v>
      </c>
      <c r="E10" s="38" t="s">
        <v>24</v>
      </c>
      <c r="F10" s="39" t="s">
        <v>24</v>
      </c>
    </row>
    <row r="11" spans="1:8" x14ac:dyDescent="0.3">
      <c r="A11" s="29" t="s">
        <v>19</v>
      </c>
      <c r="B11" s="30" t="s">
        <v>25</v>
      </c>
      <c r="C11" s="31"/>
      <c r="D11" s="40"/>
      <c r="E11" s="41"/>
      <c r="F11" s="42"/>
    </row>
    <row r="12" spans="1:8" ht="27.6" x14ac:dyDescent="0.3">
      <c r="A12" s="15">
        <v>3</v>
      </c>
      <c r="B12" s="43" t="s">
        <v>54</v>
      </c>
      <c r="C12" s="17" t="s">
        <v>21</v>
      </c>
      <c r="D12" s="18">
        <f>H2</f>
        <v>1500</v>
      </c>
      <c r="E12" s="19">
        <v>15</v>
      </c>
      <c r="F12" s="20">
        <f>ROUND($D12*E12,2)</f>
        <v>22500</v>
      </c>
    </row>
    <row r="13" spans="1:8" ht="15.6" x14ac:dyDescent="0.3">
      <c r="A13" s="44" t="s">
        <v>19</v>
      </c>
      <c r="B13" s="36" t="s">
        <v>26</v>
      </c>
      <c r="C13" s="37" t="s">
        <v>24</v>
      </c>
      <c r="D13" s="45" t="s">
        <v>24</v>
      </c>
      <c r="E13" s="46" t="s">
        <v>24</v>
      </c>
      <c r="F13" s="47" t="s">
        <v>24</v>
      </c>
    </row>
    <row r="14" spans="1:8" x14ac:dyDescent="0.3">
      <c r="A14" s="29" t="s">
        <v>19</v>
      </c>
      <c r="B14" s="30" t="s">
        <v>27</v>
      </c>
      <c r="C14" s="31"/>
      <c r="D14" s="48"/>
      <c r="E14" s="49"/>
      <c r="F14" s="50"/>
    </row>
    <row r="15" spans="1:8" ht="27.6" x14ac:dyDescent="0.3">
      <c r="A15" s="15">
        <f>MAX(A10:A14)+1</f>
        <v>4</v>
      </c>
      <c r="B15" s="16" t="s">
        <v>28</v>
      </c>
      <c r="C15" s="17" t="s">
        <v>21</v>
      </c>
      <c r="D15" s="18">
        <f>H2</f>
        <v>1500</v>
      </c>
      <c r="E15" s="19">
        <v>45</v>
      </c>
      <c r="F15" s="20">
        <f>ROUND($D15*E15,2)</f>
        <v>67500</v>
      </c>
    </row>
    <row r="16" spans="1:8" x14ac:dyDescent="0.3">
      <c r="A16" s="106" t="s">
        <v>19</v>
      </c>
      <c r="B16" s="30" t="s">
        <v>29</v>
      </c>
      <c r="C16" s="51"/>
      <c r="D16" s="52"/>
      <c r="E16" s="52"/>
      <c r="F16" s="53"/>
    </row>
    <row r="17" spans="1:6" ht="15.6" x14ac:dyDescent="0.3">
      <c r="A17" s="15">
        <f>MAX(A10:A16)+1</f>
        <v>5</v>
      </c>
      <c r="B17" s="16" t="s">
        <v>30</v>
      </c>
      <c r="C17" s="17" t="s">
        <v>21</v>
      </c>
      <c r="D17" s="18">
        <f>H2</f>
        <v>1500</v>
      </c>
      <c r="E17" s="19">
        <v>50</v>
      </c>
      <c r="F17" s="20">
        <f>ROUND($D17*E17,2)</f>
        <v>75000</v>
      </c>
    </row>
    <row r="18" spans="1:6" ht="15.6" x14ac:dyDescent="0.3">
      <c r="A18" s="44" t="s">
        <v>19</v>
      </c>
      <c r="B18" s="36" t="s">
        <v>31</v>
      </c>
      <c r="C18" s="37" t="s">
        <v>24</v>
      </c>
      <c r="D18" s="45" t="s">
        <v>24</v>
      </c>
      <c r="E18" s="46" t="s">
        <v>24</v>
      </c>
      <c r="F18" s="47" t="s">
        <v>24</v>
      </c>
    </row>
    <row r="19" spans="1:6" x14ac:dyDescent="0.3">
      <c r="A19" s="29" t="s">
        <v>19</v>
      </c>
      <c r="B19" s="30" t="s">
        <v>32</v>
      </c>
      <c r="C19" s="31"/>
      <c r="D19" s="40"/>
      <c r="E19" s="49"/>
      <c r="F19" s="50"/>
    </row>
    <row r="20" spans="1:6" ht="27.6" x14ac:dyDescent="0.3">
      <c r="A20" s="15">
        <f>MAX(A12:A19)+1</f>
        <v>6</v>
      </c>
      <c r="B20" s="16" t="s">
        <v>33</v>
      </c>
      <c r="C20" s="17" t="s">
        <v>21</v>
      </c>
      <c r="D20" s="18">
        <f>H2-D21</f>
        <v>1185</v>
      </c>
      <c r="E20" s="19">
        <v>120</v>
      </c>
      <c r="F20" s="20">
        <f>ROUND($D20*E20,2)</f>
        <v>142200</v>
      </c>
    </row>
    <row r="21" spans="1:6" ht="27.6" x14ac:dyDescent="0.3">
      <c r="A21" s="15">
        <f>MAX(A13:A20)+1</f>
        <v>7</v>
      </c>
      <c r="B21" s="16" t="s">
        <v>34</v>
      </c>
      <c r="C21" s="17" t="s">
        <v>21</v>
      </c>
      <c r="D21" s="18">
        <v>315</v>
      </c>
      <c r="E21" s="19">
        <v>130</v>
      </c>
      <c r="F21" s="20">
        <f>ROUND($D21*E21,2)</f>
        <v>40950</v>
      </c>
    </row>
    <row r="22" spans="1:6" ht="15.6" x14ac:dyDescent="0.3">
      <c r="A22" s="44" t="s">
        <v>19</v>
      </c>
      <c r="B22" s="36" t="s">
        <v>35</v>
      </c>
      <c r="C22" s="37" t="s">
        <v>24</v>
      </c>
      <c r="D22" s="45" t="s">
        <v>24</v>
      </c>
      <c r="E22" s="46" t="s">
        <v>24</v>
      </c>
      <c r="F22" s="47" t="s">
        <v>24</v>
      </c>
    </row>
    <row r="23" spans="1:6" ht="15.6" x14ac:dyDescent="0.3">
      <c r="A23" s="29" t="s">
        <v>19</v>
      </c>
      <c r="B23" s="30" t="s">
        <v>36</v>
      </c>
      <c r="C23" s="54"/>
      <c r="D23" s="55"/>
      <c r="E23" s="56"/>
      <c r="F23" s="57"/>
    </row>
    <row r="24" spans="1:6" ht="27.6" x14ac:dyDescent="0.3">
      <c r="A24" s="15">
        <v>8</v>
      </c>
      <c r="B24" s="16" t="s">
        <v>37</v>
      </c>
      <c r="C24" s="17" t="s">
        <v>10</v>
      </c>
      <c r="D24" s="18">
        <v>0</v>
      </c>
      <c r="E24" s="19">
        <v>115</v>
      </c>
      <c r="F24" s="20">
        <f>ROUND($D24*E24,2)</f>
        <v>0</v>
      </c>
    </row>
    <row r="25" spans="1:6" ht="15.6" x14ac:dyDescent="0.3">
      <c r="A25" s="29" t="s">
        <v>19</v>
      </c>
      <c r="B25" s="30" t="s">
        <v>38</v>
      </c>
      <c r="C25" s="54"/>
      <c r="D25" s="58"/>
      <c r="E25" s="59"/>
      <c r="F25" s="60"/>
    </row>
    <row r="26" spans="1:6" ht="27.6" x14ac:dyDescent="0.3">
      <c r="A26" s="15">
        <f>MAX(A20:A25)+1</f>
        <v>9</v>
      </c>
      <c r="B26" s="16" t="s">
        <v>39</v>
      </c>
      <c r="C26" s="17" t="s">
        <v>10</v>
      </c>
      <c r="D26" s="18">
        <v>400</v>
      </c>
      <c r="E26" s="19">
        <v>65</v>
      </c>
      <c r="F26" s="20">
        <f>ROUND($D26*E26,2)</f>
        <v>26000</v>
      </c>
    </row>
    <row r="27" spans="1:6" ht="15" thickBot="1" x14ac:dyDescent="0.35">
      <c r="A27" s="61"/>
      <c r="B27" s="62"/>
      <c r="C27" s="63"/>
      <c r="D27" s="63"/>
      <c r="E27" s="64" t="s">
        <v>40</v>
      </c>
      <c r="F27" s="65">
        <f>SUBTOTAL(9,F8:F26)</f>
        <v>422150</v>
      </c>
    </row>
    <row r="28" spans="1:6" ht="15" thickTop="1" x14ac:dyDescent="0.3">
      <c r="A28" s="66"/>
      <c r="B28" s="66"/>
      <c r="C28" s="131" t="s">
        <v>15</v>
      </c>
      <c r="D28" s="132"/>
      <c r="E28" s="133"/>
      <c r="F28" s="67">
        <f>SUBTOTAL(9,F6:F27)</f>
        <v>422150</v>
      </c>
    </row>
    <row r="29" spans="1:6" x14ac:dyDescent="0.3">
      <c r="A29" s="66"/>
      <c r="B29" s="66"/>
      <c r="C29" s="134" t="s">
        <v>16</v>
      </c>
      <c r="D29" s="118"/>
      <c r="E29" s="119"/>
      <c r="F29" s="21">
        <f>ROUND(F28*0.23,2)</f>
        <v>97094.5</v>
      </c>
    </row>
    <row r="30" spans="1:6" ht="15" thickBot="1" x14ac:dyDescent="0.35">
      <c r="A30" s="66"/>
      <c r="B30" s="66"/>
      <c r="C30" s="135" t="s">
        <v>17</v>
      </c>
      <c r="D30" s="136"/>
      <c r="E30" s="137"/>
      <c r="F30" s="22">
        <f>SUM(F28:F29)</f>
        <v>519244.5</v>
      </c>
    </row>
    <row r="31" spans="1:6" ht="15" thickTop="1" x14ac:dyDescent="0.3"/>
  </sheetData>
  <mergeCells count="4">
    <mergeCell ref="A6:F6"/>
    <mergeCell ref="C28:E28"/>
    <mergeCell ref="C29:E29"/>
    <mergeCell ref="C30:E30"/>
  </mergeCells>
  <conditionalFormatting sqref="E8:F9">
    <cfRule type="cellIs" dxfId="33" priority="4" stopIfTrue="1" operator="equal">
      <formula>0</formula>
    </cfRule>
  </conditionalFormatting>
  <conditionalFormatting sqref="E12:F12">
    <cfRule type="cellIs" dxfId="32" priority="8" stopIfTrue="1" operator="equal">
      <formula>0</formula>
    </cfRule>
  </conditionalFormatting>
  <conditionalFormatting sqref="E15:F15 E17:F17 E26:F26">
    <cfRule type="cellIs" dxfId="31" priority="5" stopIfTrue="1" operator="equal">
      <formula>0</formula>
    </cfRule>
  </conditionalFormatting>
  <conditionalFormatting sqref="E20:F21">
    <cfRule type="cellIs" dxfId="30" priority="1" stopIfTrue="1" operator="equal">
      <formula>0</formula>
    </cfRule>
  </conditionalFormatting>
  <conditionalFormatting sqref="E24:F24">
    <cfRule type="cellIs" dxfId="29" priority="2" stopIfTrue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05687-BEF6-4BC7-B744-752C9353A759}">
  <dimension ref="B2:G30"/>
  <sheetViews>
    <sheetView topLeftCell="A10" workbookViewId="0">
      <selection activeCell="F13" sqref="F13:F24"/>
    </sheetView>
  </sheetViews>
  <sheetFormatPr defaultRowHeight="14.4" x14ac:dyDescent="0.3"/>
  <cols>
    <col min="3" max="3" width="45.44140625" style="1" customWidth="1"/>
    <col min="4" max="4" width="12.6640625" bestFit="1" customWidth="1"/>
    <col min="6" max="6" width="10.33203125" customWidth="1"/>
    <col min="7" max="7" width="10.109375" bestFit="1" customWidth="1"/>
  </cols>
  <sheetData>
    <row r="2" spans="2:7" x14ac:dyDescent="0.3">
      <c r="C2" s="1" t="s">
        <v>0</v>
      </c>
    </row>
    <row r="3" spans="2:7" ht="28.8" x14ac:dyDescent="0.3">
      <c r="C3" s="1" t="s">
        <v>60</v>
      </c>
      <c r="D3">
        <f>273*7</f>
        <v>1911</v>
      </c>
    </row>
    <row r="4" spans="2:7" x14ac:dyDescent="0.3">
      <c r="C4" s="1" t="s">
        <v>58</v>
      </c>
      <c r="D4">
        <v>0</v>
      </c>
    </row>
    <row r="5" spans="2:7" x14ac:dyDescent="0.3">
      <c r="C5" s="1" t="s">
        <v>59</v>
      </c>
      <c r="D5">
        <f>273*2</f>
        <v>546</v>
      </c>
      <c r="E5" s="138">
        <f>D5+D6</f>
        <v>1092</v>
      </c>
    </row>
    <row r="6" spans="2:7" x14ac:dyDescent="0.3">
      <c r="C6" s="1" t="s">
        <v>61</v>
      </c>
      <c r="D6">
        <f>273*2</f>
        <v>546</v>
      </c>
      <c r="E6" s="138"/>
    </row>
    <row r="7" spans="2:7" x14ac:dyDescent="0.3">
      <c r="C7" s="1" t="s">
        <v>62</v>
      </c>
      <c r="D7">
        <f>273*2</f>
        <v>546</v>
      </c>
    </row>
    <row r="8" spans="2:7" x14ac:dyDescent="0.3">
      <c r="C8" s="1" t="s">
        <v>63</v>
      </c>
      <c r="D8">
        <f>20*15</f>
        <v>300</v>
      </c>
    </row>
    <row r="9" spans="2:7" ht="15" thickBot="1" x14ac:dyDescent="0.35"/>
    <row r="10" spans="2:7" ht="42" thickBot="1" x14ac:dyDescent="0.35">
      <c r="B10" s="101" t="s">
        <v>1</v>
      </c>
      <c r="C10" s="104" t="s">
        <v>2</v>
      </c>
      <c r="D10" s="102" t="s">
        <v>3</v>
      </c>
      <c r="E10" s="105"/>
      <c r="F10" s="104" t="s">
        <v>4</v>
      </c>
      <c r="G10" s="103" t="s">
        <v>5</v>
      </c>
    </row>
    <row r="11" spans="2:7" ht="15" thickBot="1" x14ac:dyDescent="0.35">
      <c r="B11" s="70"/>
      <c r="C11" s="71"/>
      <c r="D11" s="72" t="s">
        <v>6</v>
      </c>
      <c r="E11" s="74" t="s">
        <v>7</v>
      </c>
      <c r="F11" s="71"/>
      <c r="G11" s="73"/>
    </row>
    <row r="12" spans="2:7" ht="15" thickBot="1" x14ac:dyDescent="0.35">
      <c r="B12" s="81">
        <v>1</v>
      </c>
      <c r="C12" s="84" t="s">
        <v>50</v>
      </c>
      <c r="D12" s="82">
        <v>3</v>
      </c>
      <c r="E12" s="85">
        <v>4</v>
      </c>
      <c r="F12" s="84" t="s">
        <v>51</v>
      </c>
      <c r="G12" s="83">
        <v>6</v>
      </c>
    </row>
    <row r="13" spans="2:7" x14ac:dyDescent="0.3">
      <c r="B13" s="78">
        <v>1</v>
      </c>
      <c r="C13" s="86" t="s">
        <v>49</v>
      </c>
      <c r="D13" s="95" t="s">
        <v>8</v>
      </c>
      <c r="E13" s="89">
        <f>D3+D4</f>
        <v>1911</v>
      </c>
      <c r="F13" s="98">
        <v>20</v>
      </c>
      <c r="G13" s="92">
        <f>ROUND($E13*F13,2)</f>
        <v>38220</v>
      </c>
    </row>
    <row r="14" spans="2:7" x14ac:dyDescent="0.3">
      <c r="B14" s="79">
        <f>B13+1</f>
        <v>2</v>
      </c>
      <c r="C14" s="87" t="s">
        <v>9</v>
      </c>
      <c r="D14" s="96" t="s">
        <v>10</v>
      </c>
      <c r="E14" s="90">
        <f>D7</f>
        <v>546</v>
      </c>
      <c r="F14" s="99">
        <v>17</v>
      </c>
      <c r="G14" s="93">
        <f>ROUND($E14*F14,2)</f>
        <v>9282</v>
      </c>
    </row>
    <row r="15" spans="2:7" ht="27.6" x14ac:dyDescent="0.3">
      <c r="B15" s="79">
        <v>3</v>
      </c>
      <c r="C15" s="87" t="s">
        <v>11</v>
      </c>
      <c r="D15" s="96" t="s">
        <v>10</v>
      </c>
      <c r="E15" s="90">
        <f>D7</f>
        <v>546</v>
      </c>
      <c r="F15" s="99">
        <v>115</v>
      </c>
      <c r="G15" s="93">
        <f t="shared" ref="G15" si="0">ROUND($E15*F15,2)</f>
        <v>62790</v>
      </c>
    </row>
    <row r="16" spans="2:7" x14ac:dyDescent="0.3">
      <c r="B16" s="79">
        <v>4</v>
      </c>
      <c r="C16" s="87" t="s">
        <v>43</v>
      </c>
      <c r="D16" s="96" t="s">
        <v>8</v>
      </c>
      <c r="E16" s="90">
        <f>D3+D4</f>
        <v>1911</v>
      </c>
      <c r="F16" s="99">
        <v>23</v>
      </c>
      <c r="G16" s="93">
        <f>ROUND($E16*F16,2)</f>
        <v>43953</v>
      </c>
    </row>
    <row r="17" spans="2:7" x14ac:dyDescent="0.3">
      <c r="B17" s="79">
        <v>5</v>
      </c>
      <c r="C17" s="87" t="s">
        <v>44</v>
      </c>
      <c r="D17" s="96" t="s">
        <v>41</v>
      </c>
      <c r="E17" s="90">
        <f>E13</f>
        <v>1911</v>
      </c>
      <c r="F17" s="99">
        <v>24</v>
      </c>
      <c r="G17" s="93">
        <f t="shared" ref="G17:G18" si="1">ROUND($E17*F17,2)</f>
        <v>45864</v>
      </c>
    </row>
    <row r="18" spans="2:7" x14ac:dyDescent="0.3">
      <c r="B18" s="79">
        <v>6</v>
      </c>
      <c r="C18" s="87" t="s">
        <v>55</v>
      </c>
      <c r="D18" s="96" t="s">
        <v>8</v>
      </c>
      <c r="E18" s="90">
        <f>E13</f>
        <v>1911</v>
      </c>
      <c r="F18" s="99">
        <v>6</v>
      </c>
      <c r="G18" s="93">
        <f t="shared" si="1"/>
        <v>11466</v>
      </c>
    </row>
    <row r="19" spans="2:7" x14ac:dyDescent="0.3">
      <c r="B19" s="79">
        <v>7</v>
      </c>
      <c r="C19" s="87" t="s">
        <v>42</v>
      </c>
      <c r="D19" s="96" t="s">
        <v>8</v>
      </c>
      <c r="E19" s="90">
        <f>E16</f>
        <v>1911</v>
      </c>
      <c r="F19" s="99">
        <v>45</v>
      </c>
      <c r="G19" s="93">
        <f>ROUND($E19*F19,2)</f>
        <v>85995</v>
      </c>
    </row>
    <row r="20" spans="2:7" x14ac:dyDescent="0.3">
      <c r="B20" s="79">
        <v>8</v>
      </c>
      <c r="C20" s="87" t="s">
        <v>56</v>
      </c>
      <c r="D20" s="96" t="s">
        <v>8</v>
      </c>
      <c r="E20" s="90">
        <f>273/8+2*12</f>
        <v>58.125</v>
      </c>
      <c r="F20" s="99">
        <v>22</v>
      </c>
      <c r="G20" s="93">
        <f t="shared" ref="G20:G22" si="2">ROUND($E20*F20,2)</f>
        <v>1278.75</v>
      </c>
    </row>
    <row r="21" spans="2:7" x14ac:dyDescent="0.3">
      <c r="B21" s="79">
        <v>9</v>
      </c>
      <c r="C21" s="87" t="s">
        <v>12</v>
      </c>
      <c r="D21" s="96" t="s">
        <v>13</v>
      </c>
      <c r="E21" s="90">
        <v>27</v>
      </c>
      <c r="F21" s="99">
        <v>500</v>
      </c>
      <c r="G21" s="93">
        <f t="shared" si="2"/>
        <v>13500</v>
      </c>
    </row>
    <row r="22" spans="2:7" x14ac:dyDescent="0.3">
      <c r="B22" s="79">
        <v>10</v>
      </c>
      <c r="C22" s="87" t="s">
        <v>14</v>
      </c>
      <c r="D22" s="96" t="s">
        <v>13</v>
      </c>
      <c r="E22" s="90">
        <v>30</v>
      </c>
      <c r="F22" s="99">
        <v>700</v>
      </c>
      <c r="G22" s="93">
        <f t="shared" si="2"/>
        <v>21000</v>
      </c>
    </row>
    <row r="23" spans="2:7" x14ac:dyDescent="0.3">
      <c r="B23" s="79">
        <v>11</v>
      </c>
      <c r="C23" s="87" t="s">
        <v>46</v>
      </c>
      <c r="D23" s="96" t="s">
        <v>13</v>
      </c>
      <c r="E23" s="90">
        <v>2</v>
      </c>
      <c r="F23" s="99">
        <v>1500</v>
      </c>
      <c r="G23" s="93">
        <f>ROUND($E23*F23,2)</f>
        <v>3000</v>
      </c>
    </row>
    <row r="24" spans="2:7" ht="15" thickBot="1" x14ac:dyDescent="0.35">
      <c r="B24" s="80">
        <f t="shared" ref="B24" si="3">B23+1</f>
        <v>12</v>
      </c>
      <c r="C24" s="88" t="s">
        <v>47</v>
      </c>
      <c r="D24" s="97" t="s">
        <v>13</v>
      </c>
      <c r="E24" s="91">
        <v>1</v>
      </c>
      <c r="F24" s="100">
        <f>0.02*850000</f>
        <v>17000</v>
      </c>
      <c r="G24" s="94">
        <f>ROUND($E24*F24,2)</f>
        <v>17000</v>
      </c>
    </row>
    <row r="25" spans="2:7" x14ac:dyDescent="0.3">
      <c r="D25" s="114" t="s">
        <v>15</v>
      </c>
      <c r="E25" s="115"/>
      <c r="F25" s="116"/>
      <c r="G25" s="75">
        <f>SUBTOTAL(9,G1:G24)</f>
        <v>353354.75</v>
      </c>
    </row>
    <row r="26" spans="2:7" x14ac:dyDescent="0.3">
      <c r="D26" s="117" t="s">
        <v>16</v>
      </c>
      <c r="E26" s="118"/>
      <c r="F26" s="119"/>
      <c r="G26" s="76">
        <f>ROUND(G25*0.23,2)</f>
        <v>81271.59</v>
      </c>
    </row>
    <row r="27" spans="2:7" ht="15" thickBot="1" x14ac:dyDescent="0.35">
      <c r="D27" s="120" t="s">
        <v>17</v>
      </c>
      <c r="E27" s="121"/>
      <c r="F27" s="122"/>
      <c r="G27" s="77">
        <f>SUM(G25:G26)</f>
        <v>434626.33999999997</v>
      </c>
    </row>
    <row r="29" spans="2:7" ht="15" thickBot="1" x14ac:dyDescent="0.35"/>
    <row r="30" spans="2:7" ht="16.2" thickBot="1" x14ac:dyDescent="0.35">
      <c r="B30" s="108" t="s">
        <v>68</v>
      </c>
      <c r="C30" s="109" t="s">
        <v>69</v>
      </c>
      <c r="D30" s="110">
        <f>435000+400000</f>
        <v>835000</v>
      </c>
    </row>
  </sheetData>
  <mergeCells count="4">
    <mergeCell ref="D25:F25"/>
    <mergeCell ref="D26:F26"/>
    <mergeCell ref="D27:F27"/>
    <mergeCell ref="E5:E6"/>
  </mergeCells>
  <conditionalFormatting sqref="F13:G24">
    <cfRule type="cellIs" dxfId="28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C9213-A307-4247-97F9-94565C0916C1}">
  <dimension ref="A1:H32"/>
  <sheetViews>
    <sheetView topLeftCell="A12" workbookViewId="0">
      <selection activeCell="D22" sqref="D22"/>
    </sheetView>
  </sheetViews>
  <sheetFormatPr defaultRowHeight="14.4" x14ac:dyDescent="0.3"/>
  <cols>
    <col min="1" max="1" width="5.109375" style="107" customWidth="1"/>
    <col min="2" max="2" width="51.33203125" customWidth="1"/>
    <col min="3" max="3" width="8.77734375" bestFit="1" customWidth="1"/>
    <col min="4" max="4" width="9.5546875" bestFit="1" customWidth="1"/>
    <col min="5" max="5" width="14.88671875" bestFit="1" customWidth="1"/>
    <col min="6" max="6" width="13" bestFit="1" customWidth="1"/>
  </cols>
  <sheetData>
    <row r="1" spans="1:8" ht="18.600000000000001" thickTop="1" x14ac:dyDescent="0.35">
      <c r="A1" s="23"/>
      <c r="B1" s="24"/>
      <c r="C1" s="24"/>
      <c r="D1" s="24"/>
      <c r="E1" s="24"/>
      <c r="F1" s="25"/>
    </row>
    <row r="2" spans="1:8" ht="25.8" thickBot="1" x14ac:dyDescent="0.5">
      <c r="A2" s="26" t="s">
        <v>52</v>
      </c>
      <c r="B2" s="27"/>
      <c r="C2" s="27"/>
      <c r="D2" s="27"/>
      <c r="E2" s="27"/>
      <c r="F2" s="28"/>
    </row>
    <row r="3" spans="1:8" ht="28.2" thickTop="1" x14ac:dyDescent="0.3">
      <c r="A3" s="2" t="s">
        <v>1</v>
      </c>
      <c r="B3" s="3" t="s">
        <v>2</v>
      </c>
      <c r="C3" s="4" t="s">
        <v>3</v>
      </c>
      <c r="D3" s="68"/>
      <c r="E3" s="3" t="s">
        <v>4</v>
      </c>
      <c r="F3" s="5" t="s">
        <v>5</v>
      </c>
      <c r="H3">
        <v>1100</v>
      </c>
    </row>
    <row r="4" spans="1:8" x14ac:dyDescent="0.3">
      <c r="A4" s="6"/>
      <c r="B4" s="7"/>
      <c r="C4" s="8" t="s">
        <v>6</v>
      </c>
      <c r="D4" s="9" t="s">
        <v>7</v>
      </c>
      <c r="E4" s="7"/>
      <c r="F4" s="10"/>
    </row>
    <row r="5" spans="1:8" ht="15" thickBot="1" x14ac:dyDescent="0.35">
      <c r="A5" s="11">
        <v>1</v>
      </c>
      <c r="B5" s="12" t="s">
        <v>50</v>
      </c>
      <c r="C5" s="13">
        <v>3</v>
      </c>
      <c r="D5" s="13">
        <v>4</v>
      </c>
      <c r="E5" s="12" t="s">
        <v>51</v>
      </c>
      <c r="F5" s="14">
        <v>6</v>
      </c>
    </row>
    <row r="6" spans="1:8" ht="16.2" thickTop="1" x14ac:dyDescent="0.3">
      <c r="A6" s="128" t="s">
        <v>18</v>
      </c>
      <c r="B6" s="129"/>
      <c r="C6" s="129"/>
      <c r="D6" s="129"/>
      <c r="E6" s="129"/>
      <c r="F6" s="130"/>
    </row>
    <row r="7" spans="1:8" x14ac:dyDescent="0.3">
      <c r="A7" s="29" t="s">
        <v>19</v>
      </c>
      <c r="B7" s="30" t="s">
        <v>20</v>
      </c>
      <c r="C7" s="31"/>
      <c r="D7" s="32"/>
      <c r="E7" s="33"/>
      <c r="F7" s="34"/>
    </row>
    <row r="8" spans="1:8" ht="27.6" x14ac:dyDescent="0.3">
      <c r="A8" s="15">
        <v>1</v>
      </c>
      <c r="B8" s="16" t="s">
        <v>53</v>
      </c>
      <c r="C8" s="17" t="s">
        <v>21</v>
      </c>
      <c r="D8" s="18">
        <f>H3</f>
        <v>1100</v>
      </c>
      <c r="E8" s="19">
        <v>17</v>
      </c>
      <c r="F8" s="20">
        <f>ROUND($D8*E8,2)</f>
        <v>18700</v>
      </c>
    </row>
    <row r="9" spans="1:8" ht="15.6" x14ac:dyDescent="0.3">
      <c r="A9" s="15">
        <v>2</v>
      </c>
      <c r="B9" s="16" t="s">
        <v>22</v>
      </c>
      <c r="C9" s="17" t="s">
        <v>21</v>
      </c>
      <c r="D9" s="18">
        <f>H3</f>
        <v>1100</v>
      </c>
      <c r="E9" s="19">
        <v>15</v>
      </c>
      <c r="F9" s="20">
        <f>ROUND($D9*E9,2)</f>
        <v>16500</v>
      </c>
    </row>
    <row r="10" spans="1:8" ht="15.6" x14ac:dyDescent="0.3">
      <c r="A10" s="35" t="s">
        <v>19</v>
      </c>
      <c r="B10" s="36" t="s">
        <v>23</v>
      </c>
      <c r="C10" s="37" t="s">
        <v>24</v>
      </c>
      <c r="D10" s="38" t="s">
        <v>24</v>
      </c>
      <c r="E10" s="38" t="s">
        <v>24</v>
      </c>
      <c r="F10" s="39" t="s">
        <v>24</v>
      </c>
    </row>
    <row r="11" spans="1:8" x14ac:dyDescent="0.3">
      <c r="A11" s="29" t="s">
        <v>19</v>
      </c>
      <c r="B11" s="30" t="s">
        <v>25</v>
      </c>
      <c r="C11" s="31"/>
      <c r="D11" s="40"/>
      <c r="E11" s="41"/>
      <c r="F11" s="42"/>
    </row>
    <row r="12" spans="1:8" ht="27.6" x14ac:dyDescent="0.3">
      <c r="A12" s="15">
        <v>3</v>
      </c>
      <c r="B12" s="43" t="s">
        <v>54</v>
      </c>
      <c r="C12" s="17" t="s">
        <v>21</v>
      </c>
      <c r="D12" s="18">
        <f>H3</f>
        <v>1100</v>
      </c>
      <c r="E12" s="19">
        <v>15</v>
      </c>
      <c r="F12" s="20">
        <f>ROUND($D12*E12,2)</f>
        <v>16500</v>
      </c>
    </row>
    <row r="13" spans="1:8" ht="15.6" x14ac:dyDescent="0.3">
      <c r="A13" s="44" t="s">
        <v>19</v>
      </c>
      <c r="B13" s="36" t="s">
        <v>26</v>
      </c>
      <c r="C13" s="37" t="s">
        <v>24</v>
      </c>
      <c r="D13" s="45" t="s">
        <v>24</v>
      </c>
      <c r="E13" s="46" t="s">
        <v>24</v>
      </c>
      <c r="F13" s="47" t="s">
        <v>24</v>
      </c>
    </row>
    <row r="14" spans="1:8" x14ac:dyDescent="0.3">
      <c r="A14" s="29" t="s">
        <v>19</v>
      </c>
      <c r="B14" s="30" t="s">
        <v>27</v>
      </c>
      <c r="C14" s="31"/>
      <c r="D14" s="48"/>
      <c r="E14" s="49"/>
      <c r="F14" s="50"/>
    </row>
    <row r="15" spans="1:8" ht="27.6" x14ac:dyDescent="0.3">
      <c r="A15" s="15">
        <f>MAX(A10:A14)+1</f>
        <v>4</v>
      </c>
      <c r="B15" s="16" t="s">
        <v>28</v>
      </c>
      <c r="C15" s="17" t="s">
        <v>21</v>
      </c>
      <c r="D15" s="18">
        <f>H3</f>
        <v>1100</v>
      </c>
      <c r="E15" s="19">
        <v>45</v>
      </c>
      <c r="F15" s="20">
        <f>ROUND($D15*E15,2)</f>
        <v>49500</v>
      </c>
    </row>
    <row r="16" spans="1:8" x14ac:dyDescent="0.3">
      <c r="A16" s="106" t="s">
        <v>19</v>
      </c>
      <c r="B16" s="30" t="s">
        <v>29</v>
      </c>
      <c r="C16" s="51"/>
      <c r="D16" s="52"/>
      <c r="E16" s="52"/>
      <c r="F16" s="53"/>
    </row>
    <row r="17" spans="1:6" ht="15.6" x14ac:dyDescent="0.3">
      <c r="A17" s="15">
        <f>MAX(A10:A16)+1</f>
        <v>5</v>
      </c>
      <c r="B17" s="16" t="s">
        <v>30</v>
      </c>
      <c r="C17" s="17" t="s">
        <v>21</v>
      </c>
      <c r="D17" s="18">
        <f>H3</f>
        <v>1100</v>
      </c>
      <c r="E17" s="19">
        <v>50</v>
      </c>
      <c r="F17" s="20">
        <f>ROUND($D17*E17,2)</f>
        <v>55000</v>
      </c>
    </row>
    <row r="18" spans="1:6" ht="15.6" x14ac:dyDescent="0.3">
      <c r="A18" s="44" t="s">
        <v>19</v>
      </c>
      <c r="B18" s="36" t="s">
        <v>31</v>
      </c>
      <c r="C18" s="37" t="s">
        <v>24</v>
      </c>
      <c r="D18" s="45" t="s">
        <v>24</v>
      </c>
      <c r="E18" s="46" t="s">
        <v>24</v>
      </c>
      <c r="F18" s="47" t="s">
        <v>24</v>
      </c>
    </row>
    <row r="19" spans="1:6" x14ac:dyDescent="0.3">
      <c r="A19" s="29" t="s">
        <v>19</v>
      </c>
      <c r="B19" s="30" t="s">
        <v>32</v>
      </c>
      <c r="C19" s="31"/>
      <c r="D19" s="40"/>
      <c r="E19" s="49"/>
      <c r="F19" s="50"/>
    </row>
    <row r="20" spans="1:6" ht="27.6" x14ac:dyDescent="0.3">
      <c r="A20" s="15">
        <f>MAX(A12:A19)+1</f>
        <v>6</v>
      </c>
      <c r="B20" s="16" t="s">
        <v>33</v>
      </c>
      <c r="C20" s="17" t="s">
        <v>21</v>
      </c>
      <c r="D20" s="18">
        <f>D17-D21</f>
        <v>800</v>
      </c>
      <c r="E20" s="19">
        <v>120</v>
      </c>
      <c r="F20" s="20">
        <f>ROUND($D20*E20,2)</f>
        <v>96000</v>
      </c>
    </row>
    <row r="21" spans="1:6" ht="27.6" x14ac:dyDescent="0.3">
      <c r="A21" s="15">
        <f>MAX(A13:A20)+1</f>
        <v>7</v>
      </c>
      <c r="B21" s="16" t="s">
        <v>34</v>
      </c>
      <c r="C21" s="17" t="s">
        <v>21</v>
      </c>
      <c r="D21" s="18">
        <f>20*15</f>
        <v>300</v>
      </c>
      <c r="E21" s="19">
        <v>130</v>
      </c>
      <c r="F21" s="20">
        <f>ROUND($D21*E21,2)</f>
        <v>39000</v>
      </c>
    </row>
    <row r="22" spans="1:6" ht="15.6" x14ac:dyDescent="0.3">
      <c r="A22" s="44" t="s">
        <v>19</v>
      </c>
      <c r="B22" s="36" t="s">
        <v>35</v>
      </c>
      <c r="C22" s="37" t="s">
        <v>24</v>
      </c>
      <c r="D22" s="45" t="s">
        <v>24</v>
      </c>
      <c r="E22" s="46" t="s">
        <v>24</v>
      </c>
      <c r="F22" s="47" t="s">
        <v>24</v>
      </c>
    </row>
    <row r="23" spans="1:6" ht="15.6" x14ac:dyDescent="0.3">
      <c r="A23" s="29" t="s">
        <v>19</v>
      </c>
      <c r="B23" s="30" t="s">
        <v>36</v>
      </c>
      <c r="C23" s="54"/>
      <c r="D23" s="55"/>
      <c r="E23" s="56"/>
      <c r="F23" s="57"/>
    </row>
    <row r="24" spans="1:6" ht="27.6" x14ac:dyDescent="0.3">
      <c r="A24" s="15">
        <v>8</v>
      </c>
      <c r="B24" s="16" t="s">
        <v>37</v>
      </c>
      <c r="C24" s="17" t="s">
        <v>10</v>
      </c>
      <c r="D24" s="18">
        <v>0</v>
      </c>
      <c r="E24" s="19">
        <v>115</v>
      </c>
      <c r="F24" s="20">
        <f>ROUND($D24*E24,2)</f>
        <v>0</v>
      </c>
    </row>
    <row r="25" spans="1:6" ht="15.6" x14ac:dyDescent="0.3">
      <c r="A25" s="29" t="s">
        <v>19</v>
      </c>
      <c r="B25" s="30" t="s">
        <v>38</v>
      </c>
      <c r="C25" s="54"/>
      <c r="D25" s="58"/>
      <c r="E25" s="59"/>
      <c r="F25" s="60"/>
    </row>
    <row r="26" spans="1:6" ht="27.6" x14ac:dyDescent="0.3">
      <c r="A26" s="15">
        <f>MAX(A20:A25)+1</f>
        <v>9</v>
      </c>
      <c r="B26" s="16" t="s">
        <v>39</v>
      </c>
      <c r="C26" s="17" t="s">
        <v>10</v>
      </c>
      <c r="D26" s="18">
        <v>440</v>
      </c>
      <c r="E26" s="19">
        <v>55</v>
      </c>
      <c r="F26" s="20">
        <f>ROUND($D26*E26,2)</f>
        <v>24200</v>
      </c>
    </row>
    <row r="27" spans="1:6" x14ac:dyDescent="0.3">
      <c r="A27" s="15">
        <f>MAX(A21:A26)+1</f>
        <v>10</v>
      </c>
      <c r="B27" s="16" t="s">
        <v>70</v>
      </c>
      <c r="C27" s="17" t="s">
        <v>10</v>
      </c>
      <c r="D27" s="18">
        <f>440*1.5</f>
        <v>660</v>
      </c>
      <c r="E27" s="19">
        <v>17</v>
      </c>
      <c r="F27" s="20">
        <f>ROUND($D27*E27,2)</f>
        <v>11220</v>
      </c>
    </row>
    <row r="28" spans="1:6" ht="15" thickBot="1" x14ac:dyDescent="0.35">
      <c r="A28" s="61"/>
      <c r="B28" s="62"/>
      <c r="C28" s="63"/>
      <c r="D28" s="63"/>
      <c r="E28" s="64" t="s">
        <v>40</v>
      </c>
      <c r="F28" s="65">
        <f>SUBTOTAL(9,F8:F26)</f>
        <v>315400</v>
      </c>
    </row>
    <row r="29" spans="1:6" ht="15" thickTop="1" x14ac:dyDescent="0.3">
      <c r="A29" s="66"/>
      <c r="B29" s="66"/>
      <c r="C29" s="131" t="s">
        <v>15</v>
      </c>
      <c r="D29" s="132"/>
      <c r="E29" s="133"/>
      <c r="F29" s="67">
        <f>SUBTOTAL(9,F6:F28)</f>
        <v>326620</v>
      </c>
    </row>
    <row r="30" spans="1:6" x14ac:dyDescent="0.3">
      <c r="A30" s="66"/>
      <c r="B30" s="66"/>
      <c r="C30" s="134" t="s">
        <v>16</v>
      </c>
      <c r="D30" s="118"/>
      <c r="E30" s="119"/>
      <c r="F30" s="21">
        <f>ROUND(F29*0.23,2)</f>
        <v>75122.600000000006</v>
      </c>
    </row>
    <row r="31" spans="1:6" ht="15" thickBot="1" x14ac:dyDescent="0.35">
      <c r="A31" s="66"/>
      <c r="B31" s="66"/>
      <c r="C31" s="135" t="s">
        <v>17</v>
      </c>
      <c r="D31" s="136"/>
      <c r="E31" s="137"/>
      <c r="F31" s="22">
        <f>SUM(F29:F30)</f>
        <v>401742.6</v>
      </c>
    </row>
    <row r="32" spans="1:6" ht="15" thickTop="1" x14ac:dyDescent="0.3"/>
  </sheetData>
  <mergeCells count="4">
    <mergeCell ref="A6:F6"/>
    <mergeCell ref="C29:E29"/>
    <mergeCell ref="C30:E30"/>
    <mergeCell ref="C31:E31"/>
  </mergeCells>
  <conditionalFormatting sqref="E8:F9">
    <cfRule type="cellIs" dxfId="27" priority="4" stopIfTrue="1" operator="equal">
      <formula>0</formula>
    </cfRule>
  </conditionalFormatting>
  <conditionalFormatting sqref="E12:F12">
    <cfRule type="cellIs" dxfId="26" priority="7" stopIfTrue="1" operator="equal">
      <formula>0</formula>
    </cfRule>
  </conditionalFormatting>
  <conditionalFormatting sqref="E15:F15 E17:F17 E26:F27">
    <cfRule type="cellIs" dxfId="25" priority="5" stopIfTrue="1" operator="equal">
      <formula>0</formula>
    </cfRule>
  </conditionalFormatting>
  <conditionalFormatting sqref="E20:F21">
    <cfRule type="cellIs" dxfId="24" priority="1" stopIfTrue="1" operator="equal">
      <formula>0</formula>
    </cfRule>
  </conditionalFormatting>
  <conditionalFormatting sqref="E24:F24">
    <cfRule type="cellIs" dxfId="23" priority="2" stopIfTrue="1" operator="equal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875EB-23E2-4F8C-9C92-9E70DC340875}">
  <dimension ref="B2:G30"/>
  <sheetViews>
    <sheetView topLeftCell="A10" workbookViewId="0">
      <selection activeCell="I25" sqref="I25"/>
    </sheetView>
  </sheetViews>
  <sheetFormatPr defaultRowHeight="14.4" x14ac:dyDescent="0.3"/>
  <cols>
    <col min="3" max="3" width="45.44140625" style="1" customWidth="1"/>
    <col min="4" max="4" width="11" bestFit="1" customWidth="1"/>
    <col min="6" max="6" width="10.33203125" customWidth="1"/>
    <col min="7" max="7" width="10.109375" bestFit="1" customWidth="1"/>
  </cols>
  <sheetData>
    <row r="2" spans="2:7" x14ac:dyDescent="0.3">
      <c r="C2" s="1" t="s">
        <v>0</v>
      </c>
    </row>
    <row r="3" spans="2:7" x14ac:dyDescent="0.3">
      <c r="C3" s="1" t="s">
        <v>76</v>
      </c>
      <c r="D3">
        <f>(205+166)*6</f>
        <v>2226</v>
      </c>
    </row>
    <row r="4" spans="2:7" x14ac:dyDescent="0.3">
      <c r="C4" s="1" t="s">
        <v>71</v>
      </c>
    </row>
    <row r="5" spans="2:7" x14ac:dyDescent="0.3">
      <c r="C5" s="1" t="s">
        <v>72</v>
      </c>
      <c r="D5">
        <f>90*2</f>
        <v>180</v>
      </c>
      <c r="E5" s="138">
        <f>D5+D6</f>
        <v>360</v>
      </c>
    </row>
    <row r="6" spans="2:7" x14ac:dyDescent="0.3">
      <c r="C6" s="1" t="s">
        <v>73</v>
      </c>
      <c r="D6">
        <f>90*2</f>
        <v>180</v>
      </c>
      <c r="E6" s="138"/>
    </row>
    <row r="7" spans="2:7" x14ac:dyDescent="0.3">
      <c r="C7" s="1" t="s">
        <v>74</v>
      </c>
      <c r="D7">
        <f>205*2+166*0.5</f>
        <v>493</v>
      </c>
    </row>
    <row r="8" spans="2:7" x14ac:dyDescent="0.3">
      <c r="C8" s="1" t="s">
        <v>75</v>
      </c>
      <c r="D8">
        <f>14*15</f>
        <v>210</v>
      </c>
    </row>
    <row r="9" spans="2:7" ht="15" thickBot="1" x14ac:dyDescent="0.35"/>
    <row r="10" spans="2:7" ht="42" thickBot="1" x14ac:dyDescent="0.35">
      <c r="B10" s="101" t="s">
        <v>1</v>
      </c>
      <c r="C10" s="104" t="s">
        <v>2</v>
      </c>
      <c r="D10" s="102" t="s">
        <v>3</v>
      </c>
      <c r="E10" s="105"/>
      <c r="F10" s="104" t="s">
        <v>4</v>
      </c>
      <c r="G10" s="103" t="s">
        <v>5</v>
      </c>
    </row>
    <row r="11" spans="2:7" ht="15" thickBot="1" x14ac:dyDescent="0.35">
      <c r="B11" s="70"/>
      <c r="C11" s="71"/>
      <c r="D11" s="72" t="s">
        <v>6</v>
      </c>
      <c r="E11" s="74" t="s">
        <v>7</v>
      </c>
      <c r="F11" s="71"/>
      <c r="G11" s="73"/>
    </row>
    <row r="12" spans="2:7" ht="15" thickBot="1" x14ac:dyDescent="0.35">
      <c r="B12" s="81">
        <v>1</v>
      </c>
      <c r="C12" s="84" t="s">
        <v>50</v>
      </c>
      <c r="D12" s="82">
        <v>3</v>
      </c>
      <c r="E12" s="85">
        <v>4</v>
      </c>
      <c r="F12" s="84" t="s">
        <v>51</v>
      </c>
      <c r="G12" s="83">
        <v>6</v>
      </c>
    </row>
    <row r="13" spans="2:7" x14ac:dyDescent="0.3">
      <c r="B13" s="78">
        <v>1</v>
      </c>
      <c r="C13" s="86" t="s">
        <v>49</v>
      </c>
      <c r="D13" s="95" t="s">
        <v>8</v>
      </c>
      <c r="E13" s="89">
        <f>D3+D4</f>
        <v>2226</v>
      </c>
      <c r="F13" s="98">
        <v>20</v>
      </c>
      <c r="G13" s="92">
        <f>ROUND($E13*F13,2)</f>
        <v>44520</v>
      </c>
    </row>
    <row r="14" spans="2:7" x14ac:dyDescent="0.3">
      <c r="B14" s="79">
        <f>B13+1</f>
        <v>2</v>
      </c>
      <c r="C14" s="87" t="s">
        <v>9</v>
      </c>
      <c r="D14" s="96" t="s">
        <v>10</v>
      </c>
      <c r="E14" s="90">
        <f>D7</f>
        <v>493</v>
      </c>
      <c r="F14" s="99">
        <v>17</v>
      </c>
      <c r="G14" s="93">
        <f>ROUND($E14*F14,2)</f>
        <v>8381</v>
      </c>
    </row>
    <row r="15" spans="2:7" ht="27.6" x14ac:dyDescent="0.3">
      <c r="B15" s="79">
        <v>3</v>
      </c>
      <c r="C15" s="87" t="s">
        <v>11</v>
      </c>
      <c r="D15" s="96" t="s">
        <v>10</v>
      </c>
      <c r="E15" s="90">
        <f>D7</f>
        <v>493</v>
      </c>
      <c r="F15" s="99">
        <v>115</v>
      </c>
      <c r="G15" s="93">
        <f t="shared" ref="G15" si="0">ROUND($E15*F15,2)</f>
        <v>56695</v>
      </c>
    </row>
    <row r="16" spans="2:7" x14ac:dyDescent="0.3">
      <c r="B16" s="79">
        <v>4</v>
      </c>
      <c r="C16" s="87" t="s">
        <v>43</v>
      </c>
      <c r="D16" s="96" t="s">
        <v>8</v>
      </c>
      <c r="E16" s="90">
        <f>D3+D4</f>
        <v>2226</v>
      </c>
      <c r="F16" s="99">
        <v>23</v>
      </c>
      <c r="G16" s="93">
        <f>ROUND($E16*F16,2)</f>
        <v>51198</v>
      </c>
    </row>
    <row r="17" spans="2:7" x14ac:dyDescent="0.3">
      <c r="B17" s="79">
        <v>5</v>
      </c>
      <c r="C17" s="87" t="s">
        <v>44</v>
      </c>
      <c r="D17" s="96" t="s">
        <v>41</v>
      </c>
      <c r="E17" s="90">
        <f>E13</f>
        <v>2226</v>
      </c>
      <c r="F17" s="99">
        <v>24</v>
      </c>
      <c r="G17" s="93">
        <f t="shared" ref="G17:G18" si="1">ROUND($E17*F17,2)</f>
        <v>53424</v>
      </c>
    </row>
    <row r="18" spans="2:7" x14ac:dyDescent="0.3">
      <c r="B18" s="79">
        <v>6</v>
      </c>
      <c r="C18" s="87" t="s">
        <v>55</v>
      </c>
      <c r="D18" s="96" t="s">
        <v>8</v>
      </c>
      <c r="E18" s="90">
        <f>E13</f>
        <v>2226</v>
      </c>
      <c r="F18" s="99">
        <v>6</v>
      </c>
      <c r="G18" s="93">
        <f t="shared" si="1"/>
        <v>13356</v>
      </c>
    </row>
    <row r="19" spans="2:7" x14ac:dyDescent="0.3">
      <c r="B19" s="79">
        <v>7</v>
      </c>
      <c r="C19" s="87" t="s">
        <v>42</v>
      </c>
      <c r="D19" s="96" t="s">
        <v>8</v>
      </c>
      <c r="E19" s="90">
        <f>E16</f>
        <v>2226</v>
      </c>
      <c r="F19" s="99">
        <v>45</v>
      </c>
      <c r="G19" s="93">
        <f>ROUND($E19*F19,2)</f>
        <v>100170</v>
      </c>
    </row>
    <row r="20" spans="2:7" x14ac:dyDescent="0.3">
      <c r="B20" s="79">
        <v>8</v>
      </c>
      <c r="C20" s="87" t="s">
        <v>56</v>
      </c>
      <c r="D20" s="96" t="s">
        <v>8</v>
      </c>
      <c r="E20" s="90">
        <f>2*12</f>
        <v>24</v>
      </c>
      <c r="F20" s="99">
        <v>22</v>
      </c>
      <c r="G20" s="93">
        <f t="shared" ref="G20:G22" si="2">ROUND($E20*F20,2)</f>
        <v>528</v>
      </c>
    </row>
    <row r="21" spans="2:7" x14ac:dyDescent="0.3">
      <c r="B21" s="79">
        <v>9</v>
      </c>
      <c r="C21" s="87" t="s">
        <v>12</v>
      </c>
      <c r="D21" s="96" t="s">
        <v>13</v>
      </c>
      <c r="E21" s="90">
        <v>60</v>
      </c>
      <c r="F21" s="99">
        <v>500</v>
      </c>
      <c r="G21" s="93">
        <f t="shared" si="2"/>
        <v>30000</v>
      </c>
    </row>
    <row r="22" spans="2:7" x14ac:dyDescent="0.3">
      <c r="B22" s="79">
        <v>10</v>
      </c>
      <c r="C22" s="87" t="s">
        <v>14</v>
      </c>
      <c r="D22" s="96" t="s">
        <v>13</v>
      </c>
      <c r="E22" s="90">
        <v>50</v>
      </c>
      <c r="F22" s="99">
        <v>700</v>
      </c>
      <c r="G22" s="93">
        <f t="shared" si="2"/>
        <v>35000</v>
      </c>
    </row>
    <row r="23" spans="2:7" x14ac:dyDescent="0.3">
      <c r="B23" s="79">
        <v>11</v>
      </c>
      <c r="C23" s="87" t="s">
        <v>46</v>
      </c>
      <c r="D23" s="96" t="s">
        <v>13</v>
      </c>
      <c r="E23" s="90">
        <v>2</v>
      </c>
      <c r="F23" s="99">
        <v>1500</v>
      </c>
      <c r="G23" s="93">
        <f>ROUND($E23*F23,2)</f>
        <v>3000</v>
      </c>
    </row>
    <row r="24" spans="2:7" ht="15" thickBot="1" x14ac:dyDescent="0.35">
      <c r="B24" s="80">
        <f t="shared" ref="B24" si="3">B23+1</f>
        <v>12</v>
      </c>
      <c r="C24" s="88" t="s">
        <v>47</v>
      </c>
      <c r="D24" s="97" t="s">
        <v>13</v>
      </c>
      <c r="E24" s="91">
        <v>1</v>
      </c>
      <c r="F24" s="100">
        <f>0.02*850000</f>
        <v>17000</v>
      </c>
      <c r="G24" s="94">
        <f>ROUND($E24*F24,2)</f>
        <v>17000</v>
      </c>
    </row>
    <row r="25" spans="2:7" x14ac:dyDescent="0.3">
      <c r="D25" s="114" t="s">
        <v>15</v>
      </c>
      <c r="E25" s="115"/>
      <c r="F25" s="116"/>
      <c r="G25" s="75">
        <f>SUBTOTAL(9,G1:G24)</f>
        <v>413278</v>
      </c>
    </row>
    <row r="26" spans="2:7" x14ac:dyDescent="0.3">
      <c r="D26" s="117" t="s">
        <v>16</v>
      </c>
      <c r="E26" s="118"/>
      <c r="F26" s="119"/>
      <c r="G26" s="76">
        <f>ROUND(G25*0.23,2)</f>
        <v>95053.94</v>
      </c>
    </row>
    <row r="27" spans="2:7" ht="15" thickBot="1" x14ac:dyDescent="0.35">
      <c r="D27" s="120" t="s">
        <v>17</v>
      </c>
      <c r="E27" s="121"/>
      <c r="F27" s="122"/>
      <c r="G27" s="77">
        <f>SUM(G25:G26)</f>
        <v>508331.94</v>
      </c>
    </row>
    <row r="29" spans="2:7" ht="15" thickBot="1" x14ac:dyDescent="0.35"/>
    <row r="30" spans="2:7" ht="16.2" thickBot="1" x14ac:dyDescent="0.35">
      <c r="B30" s="108" t="s">
        <v>68</v>
      </c>
      <c r="C30" s="109" t="s">
        <v>69</v>
      </c>
      <c r="D30" s="110">
        <f>510000+143000</f>
        <v>653000</v>
      </c>
    </row>
  </sheetData>
  <mergeCells count="4">
    <mergeCell ref="D25:F25"/>
    <mergeCell ref="D26:F26"/>
    <mergeCell ref="D27:F27"/>
    <mergeCell ref="E5:E6"/>
  </mergeCells>
  <conditionalFormatting sqref="F13:G24">
    <cfRule type="cellIs" dxfId="22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D54A5-D43D-41F5-89CC-C5F0A9D8E33E}">
  <dimension ref="A1:H31"/>
  <sheetViews>
    <sheetView topLeftCell="A13" workbookViewId="0">
      <selection activeCell="K24" sqref="K24"/>
    </sheetView>
  </sheetViews>
  <sheetFormatPr defaultRowHeight="14.4" x14ac:dyDescent="0.3"/>
  <cols>
    <col min="1" max="1" width="5.109375" style="107" customWidth="1"/>
    <col min="2" max="2" width="51.33203125" customWidth="1"/>
    <col min="3" max="3" width="8.77734375" bestFit="1" customWidth="1"/>
    <col min="4" max="4" width="9.5546875" bestFit="1" customWidth="1"/>
    <col min="5" max="5" width="14.88671875" bestFit="1" customWidth="1"/>
    <col min="6" max="6" width="13" bestFit="1" customWidth="1"/>
  </cols>
  <sheetData>
    <row r="1" spans="1:8" ht="18.600000000000001" thickTop="1" x14ac:dyDescent="0.35">
      <c r="A1" s="23"/>
      <c r="B1" s="24"/>
      <c r="C1" s="24"/>
      <c r="D1" s="24"/>
      <c r="E1" s="24"/>
      <c r="F1" s="25"/>
    </row>
    <row r="2" spans="1:8" ht="25.8" thickBot="1" x14ac:dyDescent="0.5">
      <c r="A2" s="26" t="s">
        <v>52</v>
      </c>
      <c r="B2" s="27"/>
      <c r="C2" s="27"/>
      <c r="D2" s="27"/>
      <c r="E2" s="27"/>
      <c r="F2" s="28"/>
      <c r="H2">
        <v>360</v>
      </c>
    </row>
    <row r="3" spans="1:8" ht="28.2" thickTop="1" x14ac:dyDescent="0.3">
      <c r="A3" s="2" t="s">
        <v>1</v>
      </c>
      <c r="B3" s="3" t="s">
        <v>2</v>
      </c>
      <c r="C3" s="4" t="s">
        <v>3</v>
      </c>
      <c r="D3" s="68"/>
      <c r="E3" s="3" t="s">
        <v>4</v>
      </c>
      <c r="F3" s="5" t="s">
        <v>5</v>
      </c>
    </row>
    <row r="4" spans="1:8" x14ac:dyDescent="0.3">
      <c r="A4" s="6"/>
      <c r="B4" s="7"/>
      <c r="C4" s="8" t="s">
        <v>6</v>
      </c>
      <c r="D4" s="9" t="s">
        <v>7</v>
      </c>
      <c r="E4" s="7"/>
      <c r="F4" s="10"/>
    </row>
    <row r="5" spans="1:8" ht="15" thickBot="1" x14ac:dyDescent="0.35">
      <c r="A5" s="11">
        <v>1</v>
      </c>
      <c r="B5" s="12" t="s">
        <v>50</v>
      </c>
      <c r="C5" s="13">
        <v>3</v>
      </c>
      <c r="D5" s="13">
        <v>4</v>
      </c>
      <c r="E5" s="12" t="s">
        <v>51</v>
      </c>
      <c r="F5" s="14">
        <v>6</v>
      </c>
    </row>
    <row r="6" spans="1:8" ht="16.2" thickTop="1" x14ac:dyDescent="0.3">
      <c r="A6" s="128" t="s">
        <v>18</v>
      </c>
      <c r="B6" s="129"/>
      <c r="C6" s="129"/>
      <c r="D6" s="129"/>
      <c r="E6" s="129"/>
      <c r="F6" s="130"/>
    </row>
    <row r="7" spans="1:8" x14ac:dyDescent="0.3">
      <c r="A7" s="29" t="s">
        <v>19</v>
      </c>
      <c r="B7" s="30" t="s">
        <v>20</v>
      </c>
      <c r="C7" s="31"/>
      <c r="D7" s="32"/>
      <c r="E7" s="33"/>
      <c r="F7" s="34"/>
    </row>
    <row r="8" spans="1:8" ht="27.6" x14ac:dyDescent="0.3">
      <c r="A8" s="15">
        <v>1</v>
      </c>
      <c r="B8" s="16" t="s">
        <v>53</v>
      </c>
      <c r="C8" s="17" t="s">
        <v>21</v>
      </c>
      <c r="D8" s="18">
        <f>H2</f>
        <v>360</v>
      </c>
      <c r="E8" s="19">
        <v>17</v>
      </c>
      <c r="F8" s="20">
        <f>ROUND($D8*E8,2)</f>
        <v>6120</v>
      </c>
    </row>
    <row r="9" spans="1:8" ht="15.6" x14ac:dyDescent="0.3">
      <c r="A9" s="15">
        <v>2</v>
      </c>
      <c r="B9" s="16" t="s">
        <v>22</v>
      </c>
      <c r="C9" s="17" t="s">
        <v>21</v>
      </c>
      <c r="D9" s="18">
        <f>H2</f>
        <v>360</v>
      </c>
      <c r="E9" s="19">
        <v>15</v>
      </c>
      <c r="F9" s="20">
        <f>ROUND($D9*E9,2)</f>
        <v>5400</v>
      </c>
    </row>
    <row r="10" spans="1:8" ht="15.6" x14ac:dyDescent="0.3">
      <c r="A10" s="35" t="s">
        <v>19</v>
      </c>
      <c r="B10" s="36" t="s">
        <v>23</v>
      </c>
      <c r="C10" s="37" t="s">
        <v>24</v>
      </c>
      <c r="D10" s="38" t="s">
        <v>24</v>
      </c>
      <c r="E10" s="38" t="s">
        <v>24</v>
      </c>
      <c r="F10" s="39" t="s">
        <v>24</v>
      </c>
    </row>
    <row r="11" spans="1:8" x14ac:dyDescent="0.3">
      <c r="A11" s="29" t="s">
        <v>19</v>
      </c>
      <c r="B11" s="30" t="s">
        <v>25</v>
      </c>
      <c r="C11" s="31"/>
      <c r="D11" s="40"/>
      <c r="E11" s="41"/>
      <c r="F11" s="42"/>
    </row>
    <row r="12" spans="1:8" ht="27.6" x14ac:dyDescent="0.3">
      <c r="A12" s="15">
        <v>3</v>
      </c>
      <c r="B12" s="43" t="s">
        <v>54</v>
      </c>
      <c r="C12" s="17" t="s">
        <v>21</v>
      </c>
      <c r="D12" s="18">
        <f>H2</f>
        <v>360</v>
      </c>
      <c r="E12" s="19">
        <v>15</v>
      </c>
      <c r="F12" s="20">
        <f>ROUND($D12*E12,2)</f>
        <v>5400</v>
      </c>
    </row>
    <row r="13" spans="1:8" ht="15.6" x14ac:dyDescent="0.3">
      <c r="A13" s="44" t="s">
        <v>19</v>
      </c>
      <c r="B13" s="36" t="s">
        <v>26</v>
      </c>
      <c r="C13" s="37" t="s">
        <v>24</v>
      </c>
      <c r="D13" s="45" t="s">
        <v>24</v>
      </c>
      <c r="E13" s="46" t="s">
        <v>24</v>
      </c>
      <c r="F13" s="47" t="s">
        <v>24</v>
      </c>
    </row>
    <row r="14" spans="1:8" x14ac:dyDescent="0.3">
      <c r="A14" s="29" t="s">
        <v>19</v>
      </c>
      <c r="B14" s="30" t="s">
        <v>27</v>
      </c>
      <c r="C14" s="31"/>
      <c r="D14" s="48"/>
      <c r="E14" s="49"/>
      <c r="F14" s="50"/>
    </row>
    <row r="15" spans="1:8" ht="27.6" x14ac:dyDescent="0.3">
      <c r="A15" s="15">
        <f>MAX(A10:A14)+1</f>
        <v>4</v>
      </c>
      <c r="B15" s="16" t="s">
        <v>28</v>
      </c>
      <c r="C15" s="17" t="s">
        <v>21</v>
      </c>
      <c r="D15" s="18">
        <f>H2</f>
        <v>360</v>
      </c>
      <c r="E15" s="19">
        <v>45</v>
      </c>
      <c r="F15" s="20">
        <f>ROUND($D15*E15,2)</f>
        <v>16200</v>
      </c>
    </row>
    <row r="16" spans="1:8" x14ac:dyDescent="0.3">
      <c r="A16" s="106" t="s">
        <v>19</v>
      </c>
      <c r="B16" s="30" t="s">
        <v>29</v>
      </c>
      <c r="C16" s="51"/>
      <c r="D16" s="52"/>
      <c r="E16" s="52"/>
      <c r="F16" s="53"/>
    </row>
    <row r="17" spans="1:6" ht="15.6" x14ac:dyDescent="0.3">
      <c r="A17" s="15">
        <f>MAX(A10:A16)+1</f>
        <v>5</v>
      </c>
      <c r="B17" s="16" t="s">
        <v>30</v>
      </c>
      <c r="C17" s="17" t="s">
        <v>21</v>
      </c>
      <c r="D17" s="18">
        <f>H2</f>
        <v>360</v>
      </c>
      <c r="E17" s="19">
        <v>50</v>
      </c>
      <c r="F17" s="20">
        <f>ROUND($D17*E17,2)</f>
        <v>18000</v>
      </c>
    </row>
    <row r="18" spans="1:6" ht="15.6" x14ac:dyDescent="0.3">
      <c r="A18" s="44" t="s">
        <v>19</v>
      </c>
      <c r="B18" s="36" t="s">
        <v>31</v>
      </c>
      <c r="C18" s="37" t="s">
        <v>24</v>
      </c>
      <c r="D18" s="45" t="s">
        <v>24</v>
      </c>
      <c r="E18" s="46" t="s">
        <v>24</v>
      </c>
      <c r="F18" s="47" t="s">
        <v>24</v>
      </c>
    </row>
    <row r="19" spans="1:6" x14ac:dyDescent="0.3">
      <c r="A19" s="29" t="s">
        <v>19</v>
      </c>
      <c r="B19" s="30" t="s">
        <v>32</v>
      </c>
      <c r="C19" s="31"/>
      <c r="D19" s="40"/>
      <c r="E19" s="49"/>
      <c r="F19" s="50"/>
    </row>
    <row r="20" spans="1:6" ht="27.6" x14ac:dyDescent="0.3">
      <c r="A20" s="15">
        <f>MAX(A12:A19)+1</f>
        <v>6</v>
      </c>
      <c r="B20" s="16" t="s">
        <v>33</v>
      </c>
      <c r="C20" s="17" t="s">
        <v>21</v>
      </c>
      <c r="D20" s="18">
        <f>D17-D21</f>
        <v>150</v>
      </c>
      <c r="E20" s="19">
        <v>120</v>
      </c>
      <c r="F20" s="20">
        <f>ROUND($D20*E20,2)</f>
        <v>18000</v>
      </c>
    </row>
    <row r="21" spans="1:6" ht="27.6" x14ac:dyDescent="0.3">
      <c r="A21" s="15">
        <f>MAX(A13:A20)+1</f>
        <v>7</v>
      </c>
      <c r="B21" s="16" t="s">
        <v>34</v>
      </c>
      <c r="C21" s="17" t="s">
        <v>21</v>
      </c>
      <c r="D21" s="18">
        <f>14*15</f>
        <v>210</v>
      </c>
      <c r="E21" s="19">
        <v>130</v>
      </c>
      <c r="F21" s="20">
        <f>ROUND($D21*E21,2)</f>
        <v>27300</v>
      </c>
    </row>
    <row r="22" spans="1:6" ht="15.6" x14ac:dyDescent="0.3">
      <c r="A22" s="44" t="s">
        <v>19</v>
      </c>
      <c r="B22" s="36" t="s">
        <v>35</v>
      </c>
      <c r="C22" s="37" t="s">
        <v>24</v>
      </c>
      <c r="D22" s="45" t="s">
        <v>24</v>
      </c>
      <c r="E22" s="46" t="s">
        <v>24</v>
      </c>
      <c r="F22" s="47" t="s">
        <v>24</v>
      </c>
    </row>
    <row r="23" spans="1:6" ht="15.6" x14ac:dyDescent="0.3">
      <c r="A23" s="29" t="s">
        <v>19</v>
      </c>
      <c r="B23" s="30" t="s">
        <v>36</v>
      </c>
      <c r="C23" s="54"/>
      <c r="D23" s="55"/>
      <c r="E23" s="56"/>
      <c r="F23" s="57"/>
    </row>
    <row r="24" spans="1:6" ht="27.6" x14ac:dyDescent="0.3">
      <c r="A24" s="15">
        <v>8</v>
      </c>
      <c r="B24" s="16" t="s">
        <v>37</v>
      </c>
      <c r="C24" s="17" t="s">
        <v>10</v>
      </c>
      <c r="D24" s="18">
        <v>0</v>
      </c>
      <c r="E24" s="19">
        <v>115</v>
      </c>
      <c r="F24" s="20">
        <f>ROUND($D24*E24,2)</f>
        <v>0</v>
      </c>
    </row>
    <row r="25" spans="1:6" ht="15.6" x14ac:dyDescent="0.3">
      <c r="A25" s="29" t="s">
        <v>19</v>
      </c>
      <c r="B25" s="30" t="s">
        <v>38</v>
      </c>
      <c r="C25" s="54"/>
      <c r="D25" s="58"/>
      <c r="E25" s="59"/>
      <c r="F25" s="60"/>
    </row>
    <row r="26" spans="1:6" ht="27.6" x14ac:dyDescent="0.3">
      <c r="A26" s="15">
        <f>MAX(A20:A25)+1</f>
        <v>9</v>
      </c>
      <c r="B26" s="16" t="s">
        <v>39</v>
      </c>
      <c r="C26" s="17" t="s">
        <v>10</v>
      </c>
      <c r="D26" s="18">
        <v>360</v>
      </c>
      <c r="E26" s="19">
        <v>55</v>
      </c>
      <c r="F26" s="20">
        <f>ROUND($D26*E26,2)</f>
        <v>19800</v>
      </c>
    </row>
    <row r="27" spans="1:6" ht="15" thickBot="1" x14ac:dyDescent="0.35">
      <c r="A27" s="61"/>
      <c r="B27" s="62"/>
      <c r="C27" s="63"/>
      <c r="D27" s="63"/>
      <c r="E27" s="19">
        <v>17</v>
      </c>
      <c r="F27" s="65">
        <f>SUBTOTAL(9,F8:F26)</f>
        <v>116220</v>
      </c>
    </row>
    <row r="28" spans="1:6" ht="15" thickTop="1" x14ac:dyDescent="0.3">
      <c r="A28" s="66"/>
      <c r="B28" s="66"/>
      <c r="C28" s="131" t="s">
        <v>15</v>
      </c>
      <c r="D28" s="132"/>
      <c r="E28" s="133"/>
      <c r="F28" s="67">
        <f>SUBTOTAL(9,F6:F27)</f>
        <v>116220</v>
      </c>
    </row>
    <row r="29" spans="1:6" x14ac:dyDescent="0.3">
      <c r="A29" s="66"/>
      <c r="B29" s="66"/>
      <c r="C29" s="134" t="s">
        <v>16</v>
      </c>
      <c r="D29" s="118"/>
      <c r="E29" s="119"/>
      <c r="F29" s="21">
        <f>ROUND(F28*0.23,2)</f>
        <v>26730.6</v>
      </c>
    </row>
    <row r="30" spans="1:6" ht="15" thickBot="1" x14ac:dyDescent="0.35">
      <c r="A30" s="66"/>
      <c r="B30" s="66"/>
      <c r="C30" s="135" t="s">
        <v>17</v>
      </c>
      <c r="D30" s="136"/>
      <c r="E30" s="137"/>
      <c r="F30" s="22">
        <f>SUM(F28:F29)</f>
        <v>142950.6</v>
      </c>
    </row>
    <row r="31" spans="1:6" ht="15" thickTop="1" x14ac:dyDescent="0.3"/>
  </sheetData>
  <mergeCells count="4">
    <mergeCell ref="A6:F6"/>
    <mergeCell ref="C28:E28"/>
    <mergeCell ref="C29:E29"/>
    <mergeCell ref="C30:E30"/>
  </mergeCells>
  <conditionalFormatting sqref="E8:F9">
    <cfRule type="cellIs" dxfId="21" priority="3" stopIfTrue="1" operator="equal">
      <formula>0</formula>
    </cfRule>
  </conditionalFormatting>
  <conditionalFormatting sqref="E12:F12">
    <cfRule type="cellIs" dxfId="20" priority="5" stopIfTrue="1" operator="equal">
      <formula>0</formula>
    </cfRule>
  </conditionalFormatting>
  <conditionalFormatting sqref="E15:F15 E17:F17 E26:E27">
    <cfRule type="cellIs" dxfId="19" priority="4" stopIfTrue="1" operator="equal">
      <formula>0</formula>
    </cfRule>
  </conditionalFormatting>
  <conditionalFormatting sqref="E20:F21">
    <cfRule type="cellIs" dxfId="18" priority="1" stopIfTrue="1" operator="equal">
      <formula>0</formula>
    </cfRule>
  </conditionalFormatting>
  <conditionalFormatting sqref="E24:F24">
    <cfRule type="cellIs" dxfId="17" priority="2" stopIfTrue="1" operator="equal">
      <formula>0</formula>
    </cfRule>
  </conditionalFormatting>
  <conditionalFormatting sqref="F26">
    <cfRule type="cellIs" dxfId="16" priority="11" stopIfTrue="1" operator="equal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F82E3-8A9F-4383-AE1F-DFF7658E8C8E}">
  <sheetPr>
    <pageSetUpPr fitToPage="1"/>
  </sheetPr>
  <dimension ref="A1:H31"/>
  <sheetViews>
    <sheetView topLeftCell="A28" workbookViewId="0">
      <selection activeCell="H3" sqref="H3"/>
    </sheetView>
  </sheetViews>
  <sheetFormatPr defaultRowHeight="14.4" x14ac:dyDescent="0.3"/>
  <cols>
    <col min="1" max="1" width="5.109375" style="107" customWidth="1"/>
    <col min="2" max="2" width="51.33203125" customWidth="1"/>
    <col min="3" max="3" width="8.77734375" bestFit="1" customWidth="1"/>
    <col min="4" max="4" width="9.77734375" bestFit="1" customWidth="1"/>
    <col min="5" max="5" width="14.88671875" bestFit="1" customWidth="1"/>
    <col min="6" max="6" width="13" bestFit="1" customWidth="1"/>
  </cols>
  <sheetData>
    <row r="1" spans="1:8" ht="18.600000000000001" thickTop="1" x14ac:dyDescent="0.35">
      <c r="A1" s="23"/>
      <c r="B1" s="24"/>
      <c r="C1" s="24"/>
      <c r="D1" s="24"/>
      <c r="E1" s="24"/>
      <c r="F1" s="25"/>
    </row>
    <row r="2" spans="1:8" ht="25.8" thickBot="1" x14ac:dyDescent="0.5">
      <c r="A2" s="26" t="s">
        <v>82</v>
      </c>
      <c r="B2" s="27"/>
      <c r="C2" s="27"/>
      <c r="D2" s="27"/>
      <c r="E2" s="27"/>
      <c r="F2" s="28"/>
      <c r="H2">
        <f>390*2</f>
        <v>780</v>
      </c>
    </row>
    <row r="3" spans="1:8" ht="28.2" thickTop="1" x14ac:dyDescent="0.3">
      <c r="A3" s="2" t="s">
        <v>1</v>
      </c>
      <c r="B3" s="3" t="s">
        <v>2</v>
      </c>
      <c r="C3" s="4" t="s">
        <v>3</v>
      </c>
      <c r="D3" s="68"/>
      <c r="E3" s="3" t="s">
        <v>4</v>
      </c>
      <c r="F3" s="5" t="s">
        <v>5</v>
      </c>
    </row>
    <row r="4" spans="1:8" x14ac:dyDescent="0.3">
      <c r="A4" s="6"/>
      <c r="B4" s="7"/>
      <c r="C4" s="8" t="s">
        <v>6</v>
      </c>
      <c r="D4" s="9" t="s">
        <v>7</v>
      </c>
      <c r="E4" s="7"/>
      <c r="F4" s="10"/>
    </row>
    <row r="5" spans="1:8" ht="15" thickBot="1" x14ac:dyDescent="0.35">
      <c r="A5" s="11">
        <v>1</v>
      </c>
      <c r="B5" s="12" t="s">
        <v>50</v>
      </c>
      <c r="C5" s="13">
        <v>3</v>
      </c>
      <c r="D5" s="13">
        <v>4</v>
      </c>
      <c r="E5" s="12" t="s">
        <v>51</v>
      </c>
      <c r="F5" s="14">
        <v>6</v>
      </c>
    </row>
    <row r="6" spans="1:8" ht="16.2" thickTop="1" x14ac:dyDescent="0.3">
      <c r="A6" s="128" t="s">
        <v>95</v>
      </c>
      <c r="B6" s="129"/>
      <c r="C6" s="129"/>
      <c r="D6" s="129"/>
      <c r="E6" s="129"/>
      <c r="F6" s="130"/>
    </row>
    <row r="7" spans="1:8" x14ac:dyDescent="0.3">
      <c r="A7" s="29" t="s">
        <v>19</v>
      </c>
      <c r="B7" s="30" t="s">
        <v>20</v>
      </c>
      <c r="C7" s="31"/>
      <c r="D7" s="32"/>
      <c r="E7" s="33"/>
      <c r="F7" s="34"/>
    </row>
    <row r="8" spans="1:8" ht="27.6" x14ac:dyDescent="0.3">
      <c r="A8" s="15">
        <v>1</v>
      </c>
      <c r="B8" s="16" t="s">
        <v>80</v>
      </c>
      <c r="C8" s="17" t="s">
        <v>21</v>
      </c>
      <c r="D8" s="18">
        <f>H2</f>
        <v>780</v>
      </c>
      <c r="E8" s="19">
        <v>17</v>
      </c>
      <c r="F8" s="20">
        <f>ROUND($D8*E8,2)</f>
        <v>13260</v>
      </c>
    </row>
    <row r="9" spans="1:8" ht="15.6" x14ac:dyDescent="0.3">
      <c r="A9" s="15">
        <v>2</v>
      </c>
      <c r="B9" s="16" t="s">
        <v>22</v>
      </c>
      <c r="C9" s="17" t="s">
        <v>21</v>
      </c>
      <c r="D9" s="18">
        <f>H2</f>
        <v>780</v>
      </c>
      <c r="E9" s="19">
        <v>15</v>
      </c>
      <c r="F9" s="20">
        <f>ROUND($D9*E9,2)</f>
        <v>11700</v>
      </c>
    </row>
    <row r="10" spans="1:8" ht="15.6" x14ac:dyDescent="0.3">
      <c r="A10" s="35" t="s">
        <v>19</v>
      </c>
      <c r="B10" s="36" t="s">
        <v>23</v>
      </c>
      <c r="C10" s="37" t="s">
        <v>24</v>
      </c>
      <c r="D10" s="38" t="s">
        <v>24</v>
      </c>
      <c r="E10" s="38" t="s">
        <v>24</v>
      </c>
      <c r="F10" s="39" t="s">
        <v>24</v>
      </c>
    </row>
    <row r="11" spans="1:8" x14ac:dyDescent="0.3">
      <c r="A11" s="29" t="s">
        <v>19</v>
      </c>
      <c r="B11" s="30" t="s">
        <v>25</v>
      </c>
      <c r="C11" s="31"/>
      <c r="D11" s="40"/>
      <c r="E11" s="41"/>
      <c r="F11" s="42"/>
    </row>
    <row r="12" spans="1:8" ht="27.6" x14ac:dyDescent="0.3">
      <c r="A12" s="15">
        <v>3</v>
      </c>
      <c r="B12" s="43" t="s">
        <v>54</v>
      </c>
      <c r="C12" s="17" t="s">
        <v>21</v>
      </c>
      <c r="D12" s="18">
        <f>H2</f>
        <v>780</v>
      </c>
      <c r="E12" s="19">
        <v>20</v>
      </c>
      <c r="F12" s="20">
        <f>ROUND($D12*E12,2)</f>
        <v>15600</v>
      </c>
    </row>
    <row r="13" spans="1:8" ht="15.6" x14ac:dyDescent="0.3">
      <c r="A13" s="44" t="s">
        <v>19</v>
      </c>
      <c r="B13" s="36" t="s">
        <v>26</v>
      </c>
      <c r="C13" s="37" t="s">
        <v>24</v>
      </c>
      <c r="D13" s="45" t="s">
        <v>24</v>
      </c>
      <c r="E13" s="46" t="s">
        <v>24</v>
      </c>
      <c r="F13" s="47" t="s">
        <v>24</v>
      </c>
    </row>
    <row r="14" spans="1:8" x14ac:dyDescent="0.3">
      <c r="A14" s="29" t="s">
        <v>19</v>
      </c>
      <c r="B14" s="30" t="s">
        <v>27</v>
      </c>
      <c r="C14" s="31"/>
      <c r="D14" s="48"/>
      <c r="E14" s="49"/>
      <c r="F14" s="50"/>
    </row>
    <row r="15" spans="1:8" ht="27.6" x14ac:dyDescent="0.3">
      <c r="A15" s="15">
        <f>MAX(A10:A14)+1</f>
        <v>4</v>
      </c>
      <c r="B15" s="16" t="s">
        <v>28</v>
      </c>
      <c r="C15" s="17" t="s">
        <v>21</v>
      </c>
      <c r="D15" s="18">
        <f>H2</f>
        <v>780</v>
      </c>
      <c r="E15" s="19">
        <v>55</v>
      </c>
      <c r="F15" s="20">
        <f>ROUND($D15*E15,2)</f>
        <v>42900</v>
      </c>
    </row>
    <row r="16" spans="1:8" x14ac:dyDescent="0.3">
      <c r="A16" s="106" t="s">
        <v>19</v>
      </c>
      <c r="B16" s="30" t="s">
        <v>29</v>
      </c>
      <c r="C16" s="51"/>
      <c r="D16" s="52"/>
      <c r="E16" s="52"/>
      <c r="F16" s="53"/>
    </row>
    <row r="17" spans="1:6" ht="15.6" x14ac:dyDescent="0.3">
      <c r="A17" s="15">
        <f>MAX(A10:A16)+1</f>
        <v>5</v>
      </c>
      <c r="B17" s="16" t="s">
        <v>30</v>
      </c>
      <c r="C17" s="17" t="s">
        <v>21</v>
      </c>
      <c r="D17" s="18">
        <f>H2</f>
        <v>780</v>
      </c>
      <c r="E17" s="19">
        <v>60</v>
      </c>
      <c r="F17" s="20">
        <f>ROUND($D17*E17,2)</f>
        <v>46800</v>
      </c>
    </row>
    <row r="18" spans="1:6" ht="15.6" x14ac:dyDescent="0.3">
      <c r="A18" s="44" t="s">
        <v>19</v>
      </c>
      <c r="B18" s="36" t="s">
        <v>31</v>
      </c>
      <c r="C18" s="37" t="s">
        <v>24</v>
      </c>
      <c r="D18" s="45" t="s">
        <v>24</v>
      </c>
      <c r="E18" s="46" t="s">
        <v>24</v>
      </c>
      <c r="F18" s="47" t="s">
        <v>24</v>
      </c>
    </row>
    <row r="19" spans="1:6" x14ac:dyDescent="0.3">
      <c r="A19" s="29" t="s">
        <v>19</v>
      </c>
      <c r="B19" s="30" t="s">
        <v>32</v>
      </c>
      <c r="C19" s="31"/>
      <c r="D19" s="40"/>
      <c r="E19" s="49"/>
      <c r="F19" s="50"/>
    </row>
    <row r="20" spans="1:6" ht="27.6" x14ac:dyDescent="0.3">
      <c r="A20" s="15">
        <f>MAX(A12:A19)+1</f>
        <v>6</v>
      </c>
      <c r="B20" s="16" t="s">
        <v>33</v>
      </c>
      <c r="C20" s="17" t="s">
        <v>21</v>
      </c>
      <c r="D20" s="18">
        <f>H2-D21</f>
        <v>580</v>
      </c>
      <c r="E20" s="19">
        <v>130</v>
      </c>
      <c r="F20" s="20">
        <f>ROUND($D20*E20,2)</f>
        <v>75400</v>
      </c>
    </row>
    <row r="21" spans="1:6" ht="27.6" x14ac:dyDescent="0.3">
      <c r="A21" s="15">
        <f>MAX(A13:A20)+1</f>
        <v>7</v>
      </c>
      <c r="B21" s="16" t="s">
        <v>34</v>
      </c>
      <c r="C21" s="17" t="s">
        <v>21</v>
      </c>
      <c r="D21" s="18">
        <v>200</v>
      </c>
      <c r="E21" s="19">
        <v>140</v>
      </c>
      <c r="F21" s="20">
        <f>ROUND($D21*E21,2)</f>
        <v>28000</v>
      </c>
    </row>
    <row r="22" spans="1:6" ht="15.6" x14ac:dyDescent="0.3">
      <c r="A22" s="44" t="s">
        <v>19</v>
      </c>
      <c r="B22" s="36" t="s">
        <v>35</v>
      </c>
      <c r="C22" s="37" t="s">
        <v>24</v>
      </c>
      <c r="D22" s="45" t="s">
        <v>24</v>
      </c>
      <c r="E22" s="46" t="s">
        <v>24</v>
      </c>
      <c r="F22" s="47" t="s">
        <v>24</v>
      </c>
    </row>
    <row r="23" spans="1:6" ht="15.6" x14ac:dyDescent="0.3">
      <c r="A23" s="29" t="s">
        <v>19</v>
      </c>
      <c r="B23" s="30" t="s">
        <v>36</v>
      </c>
      <c r="C23" s="54"/>
      <c r="D23" s="55"/>
      <c r="E23" s="56"/>
      <c r="F23" s="57"/>
    </row>
    <row r="24" spans="1:6" ht="27.6" x14ac:dyDescent="0.3">
      <c r="A24" s="15">
        <v>8</v>
      </c>
      <c r="B24" s="16" t="s">
        <v>37</v>
      </c>
      <c r="C24" s="17" t="s">
        <v>10</v>
      </c>
      <c r="D24" s="18">
        <v>0</v>
      </c>
      <c r="E24" s="19">
        <v>115</v>
      </c>
      <c r="F24" s="20">
        <f>ROUND($D24*E24,2)</f>
        <v>0</v>
      </c>
    </row>
    <row r="25" spans="1:6" ht="15.6" x14ac:dyDescent="0.3">
      <c r="A25" s="29" t="s">
        <v>19</v>
      </c>
      <c r="B25" s="30" t="s">
        <v>38</v>
      </c>
      <c r="C25" s="54"/>
      <c r="D25" s="58"/>
      <c r="E25" s="59"/>
      <c r="F25" s="60"/>
    </row>
    <row r="26" spans="1:6" ht="27.6" x14ac:dyDescent="0.3">
      <c r="A26" s="15">
        <f>MAX(A20:A25)+1</f>
        <v>9</v>
      </c>
      <c r="B26" s="16" t="s">
        <v>39</v>
      </c>
      <c r="C26" s="17" t="s">
        <v>10</v>
      </c>
      <c r="D26" s="18">
        <f>350*2</f>
        <v>700</v>
      </c>
      <c r="E26" s="19">
        <v>65</v>
      </c>
      <c r="F26" s="20">
        <f>ROUND($D26*E26,2)</f>
        <v>45500</v>
      </c>
    </row>
    <row r="27" spans="1:6" ht="15" thickBot="1" x14ac:dyDescent="0.35">
      <c r="A27" s="61"/>
      <c r="B27" s="62"/>
      <c r="C27" s="63"/>
      <c r="D27" s="63"/>
      <c r="E27" s="64" t="s">
        <v>40</v>
      </c>
      <c r="F27" s="65">
        <f>SUBTOTAL(9,F8:F26)</f>
        <v>279160</v>
      </c>
    </row>
    <row r="28" spans="1:6" ht="15" thickTop="1" x14ac:dyDescent="0.3">
      <c r="A28" s="66"/>
      <c r="B28" s="66"/>
      <c r="C28" s="131" t="s">
        <v>15</v>
      </c>
      <c r="D28" s="132"/>
      <c r="E28" s="133"/>
      <c r="F28" s="67">
        <f>SUBTOTAL(9,F6:F27)</f>
        <v>279160</v>
      </c>
    </row>
    <row r="29" spans="1:6" x14ac:dyDescent="0.3">
      <c r="A29" s="66"/>
      <c r="B29" s="66"/>
      <c r="C29" s="134" t="s">
        <v>16</v>
      </c>
      <c r="D29" s="118"/>
      <c r="E29" s="119"/>
      <c r="F29" s="21">
        <f>ROUND(F28*0.23,2)</f>
        <v>64206.8</v>
      </c>
    </row>
    <row r="30" spans="1:6" ht="15" thickBot="1" x14ac:dyDescent="0.35">
      <c r="A30" s="66"/>
      <c r="B30" s="66"/>
      <c r="C30" s="135" t="s">
        <v>17</v>
      </c>
      <c r="D30" s="136"/>
      <c r="E30" s="137"/>
      <c r="F30" s="22">
        <f>SUM(F28:F29)</f>
        <v>343366.8</v>
      </c>
    </row>
    <row r="31" spans="1:6" ht="15" thickTop="1" x14ac:dyDescent="0.3"/>
  </sheetData>
  <mergeCells count="4">
    <mergeCell ref="A6:F6"/>
    <mergeCell ref="C28:E28"/>
    <mergeCell ref="C29:E29"/>
    <mergeCell ref="C30:E30"/>
  </mergeCells>
  <conditionalFormatting sqref="E8:F9">
    <cfRule type="cellIs" dxfId="15" priority="4" stopIfTrue="1" operator="equal">
      <formula>0</formula>
    </cfRule>
  </conditionalFormatting>
  <conditionalFormatting sqref="E12:F12">
    <cfRule type="cellIs" dxfId="14" priority="7" stopIfTrue="1" operator="equal">
      <formula>0</formula>
    </cfRule>
  </conditionalFormatting>
  <conditionalFormatting sqref="E15:F15 E17:F17 E26:F26">
    <cfRule type="cellIs" dxfId="13" priority="5" stopIfTrue="1" operator="equal">
      <formula>0</formula>
    </cfRule>
  </conditionalFormatting>
  <conditionalFormatting sqref="E20:F21">
    <cfRule type="cellIs" dxfId="12" priority="1" stopIfTrue="1" operator="equal">
      <formula>0</formula>
    </cfRule>
  </conditionalFormatting>
  <conditionalFormatting sqref="E24:F24">
    <cfRule type="cellIs" dxfId="11" priority="2" stopIfTrue="1" operator="equal">
      <formula>0</formula>
    </cfRule>
  </conditionalFormatting>
  <pageMargins left="0.7" right="0.7" top="0.75" bottom="0.75" header="0.3" footer="0.3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C14AB-1351-47B3-8B92-04DB113FB5DD}">
  <sheetPr>
    <pageSetUpPr fitToPage="1"/>
  </sheetPr>
  <dimension ref="A1:H31"/>
  <sheetViews>
    <sheetView tabSelected="1" topLeftCell="A17" workbookViewId="0">
      <selection activeCell="J29" sqref="J29"/>
    </sheetView>
  </sheetViews>
  <sheetFormatPr defaultRowHeight="14.4" x14ac:dyDescent="0.3"/>
  <cols>
    <col min="1" max="1" width="5.109375" style="107" customWidth="1"/>
    <col min="2" max="2" width="51.33203125" customWidth="1"/>
    <col min="3" max="3" width="8.77734375" bestFit="1" customWidth="1"/>
    <col min="4" max="4" width="9.77734375" bestFit="1" customWidth="1"/>
    <col min="5" max="5" width="14.88671875" bestFit="1" customWidth="1"/>
    <col min="6" max="6" width="13" bestFit="1" customWidth="1"/>
  </cols>
  <sheetData>
    <row r="1" spans="1:8" ht="18.600000000000001" thickTop="1" x14ac:dyDescent="0.35">
      <c r="A1" s="23"/>
      <c r="B1" s="24"/>
      <c r="C1" s="24"/>
      <c r="D1" s="24"/>
      <c r="E1" s="24"/>
      <c r="F1" s="25"/>
    </row>
    <row r="2" spans="1:8" ht="25.8" thickBot="1" x14ac:dyDescent="0.5">
      <c r="A2" s="26" t="s">
        <v>103</v>
      </c>
      <c r="B2" s="27"/>
      <c r="C2" s="27"/>
      <c r="D2" s="27"/>
      <c r="E2" s="27"/>
      <c r="F2" s="28"/>
      <c r="H2">
        <f>340*2</f>
        <v>680</v>
      </c>
    </row>
    <row r="3" spans="1:8" ht="28.2" thickTop="1" x14ac:dyDescent="0.3">
      <c r="A3" s="2" t="s">
        <v>1</v>
      </c>
      <c r="B3" s="3" t="s">
        <v>2</v>
      </c>
      <c r="C3" s="4" t="s">
        <v>3</v>
      </c>
      <c r="D3" s="68"/>
      <c r="E3" s="3" t="s">
        <v>4</v>
      </c>
      <c r="F3" s="5" t="s">
        <v>5</v>
      </c>
    </row>
    <row r="4" spans="1:8" x14ac:dyDescent="0.3">
      <c r="A4" s="6"/>
      <c r="B4" s="7"/>
      <c r="C4" s="8" t="s">
        <v>6</v>
      </c>
      <c r="D4" s="9" t="s">
        <v>7</v>
      </c>
      <c r="E4" s="7"/>
      <c r="F4" s="10"/>
    </row>
    <row r="5" spans="1:8" ht="15" thickBot="1" x14ac:dyDescent="0.35">
      <c r="A5" s="11">
        <v>1</v>
      </c>
      <c r="B5" s="12" t="s">
        <v>50</v>
      </c>
      <c r="C5" s="13">
        <v>3</v>
      </c>
      <c r="D5" s="13">
        <v>4</v>
      </c>
      <c r="E5" s="12" t="s">
        <v>51</v>
      </c>
      <c r="F5" s="14">
        <v>6</v>
      </c>
    </row>
    <row r="6" spans="1:8" ht="16.2" thickTop="1" x14ac:dyDescent="0.3">
      <c r="A6" s="128" t="s">
        <v>94</v>
      </c>
      <c r="B6" s="129"/>
      <c r="C6" s="129"/>
      <c r="D6" s="129"/>
      <c r="E6" s="129"/>
      <c r="F6" s="130"/>
    </row>
    <row r="7" spans="1:8" x14ac:dyDescent="0.3">
      <c r="A7" s="29" t="s">
        <v>19</v>
      </c>
      <c r="B7" s="30" t="s">
        <v>20</v>
      </c>
      <c r="C7" s="31"/>
      <c r="D7" s="32"/>
      <c r="E7" s="33"/>
      <c r="F7" s="34"/>
    </row>
    <row r="8" spans="1:8" ht="27.6" x14ac:dyDescent="0.3">
      <c r="A8" s="15">
        <v>1</v>
      </c>
      <c r="B8" s="16" t="s">
        <v>80</v>
      </c>
      <c r="C8" s="17" t="s">
        <v>21</v>
      </c>
      <c r="D8" s="18">
        <v>700</v>
      </c>
      <c r="E8" s="19"/>
      <c r="F8" s="20">
        <f>ROUND($D8*E8,2)</f>
        <v>0</v>
      </c>
    </row>
    <row r="9" spans="1:8" ht="15.6" x14ac:dyDescent="0.3">
      <c r="A9" s="15">
        <v>2</v>
      </c>
      <c r="B9" s="16" t="s">
        <v>22</v>
      </c>
      <c r="C9" s="17" t="s">
        <v>21</v>
      </c>
      <c r="D9" s="18">
        <v>700</v>
      </c>
      <c r="E9" s="19"/>
      <c r="F9" s="20">
        <f>ROUND($D9*E9,2)</f>
        <v>0</v>
      </c>
    </row>
    <row r="10" spans="1:8" ht="15.6" x14ac:dyDescent="0.3">
      <c r="A10" s="35" t="s">
        <v>19</v>
      </c>
      <c r="B10" s="36" t="s">
        <v>23</v>
      </c>
      <c r="C10" s="37" t="s">
        <v>24</v>
      </c>
      <c r="D10" s="38" t="s">
        <v>24</v>
      </c>
      <c r="E10" s="38"/>
      <c r="F10" s="39" t="s">
        <v>24</v>
      </c>
    </row>
    <row r="11" spans="1:8" x14ac:dyDescent="0.3">
      <c r="A11" s="29" t="s">
        <v>19</v>
      </c>
      <c r="B11" s="30" t="s">
        <v>25</v>
      </c>
      <c r="C11" s="31"/>
      <c r="D11" s="40"/>
      <c r="E11" s="41"/>
      <c r="F11" s="42"/>
    </row>
    <row r="12" spans="1:8" ht="27.6" x14ac:dyDescent="0.3">
      <c r="A12" s="15">
        <v>3</v>
      </c>
      <c r="B12" s="43" t="s">
        <v>54</v>
      </c>
      <c r="C12" s="17" t="s">
        <v>21</v>
      </c>
      <c r="D12" s="18">
        <v>700</v>
      </c>
      <c r="E12" s="19"/>
      <c r="F12" s="20">
        <f>ROUND($D12*E12,2)</f>
        <v>0</v>
      </c>
    </row>
    <row r="13" spans="1:8" ht="15.6" x14ac:dyDescent="0.3">
      <c r="A13" s="44" t="s">
        <v>19</v>
      </c>
      <c r="B13" s="36" t="s">
        <v>26</v>
      </c>
      <c r="C13" s="37" t="s">
        <v>24</v>
      </c>
      <c r="D13" s="45" t="s">
        <v>24</v>
      </c>
      <c r="E13" s="46"/>
      <c r="F13" s="47" t="s">
        <v>24</v>
      </c>
    </row>
    <row r="14" spans="1:8" x14ac:dyDescent="0.3">
      <c r="A14" s="29" t="s">
        <v>19</v>
      </c>
      <c r="B14" s="30" t="s">
        <v>27</v>
      </c>
      <c r="C14" s="31"/>
      <c r="D14" s="48"/>
      <c r="E14" s="49"/>
      <c r="F14" s="50"/>
    </row>
    <row r="15" spans="1:8" ht="27.6" x14ac:dyDescent="0.3">
      <c r="A15" s="15">
        <f>MAX(A10:A14)+1</f>
        <v>4</v>
      </c>
      <c r="B15" s="16" t="s">
        <v>28</v>
      </c>
      <c r="C15" s="17" t="s">
        <v>21</v>
      </c>
      <c r="D15" s="18">
        <v>700</v>
      </c>
      <c r="E15" s="19"/>
      <c r="F15" s="20">
        <f>ROUND($D15*E15,2)</f>
        <v>0</v>
      </c>
    </row>
    <row r="16" spans="1:8" x14ac:dyDescent="0.3">
      <c r="A16" s="106" t="s">
        <v>19</v>
      </c>
      <c r="B16" s="30" t="s">
        <v>29</v>
      </c>
      <c r="C16" s="51"/>
      <c r="D16" s="52"/>
      <c r="E16" s="52"/>
      <c r="F16" s="53"/>
    </row>
    <row r="17" spans="1:6" ht="15.6" x14ac:dyDescent="0.3">
      <c r="A17" s="15">
        <f>MAX(A10:A16)+1</f>
        <v>5</v>
      </c>
      <c r="B17" s="16" t="s">
        <v>30</v>
      </c>
      <c r="C17" s="17" t="s">
        <v>21</v>
      </c>
      <c r="D17" s="18">
        <v>700</v>
      </c>
      <c r="E17" s="19"/>
      <c r="F17" s="20">
        <f>ROUND($D17*E17,2)</f>
        <v>0</v>
      </c>
    </row>
    <row r="18" spans="1:6" ht="15.6" x14ac:dyDescent="0.3">
      <c r="A18" s="44" t="s">
        <v>19</v>
      </c>
      <c r="B18" s="36" t="s">
        <v>31</v>
      </c>
      <c r="C18" s="37" t="s">
        <v>24</v>
      </c>
      <c r="D18" s="45" t="s">
        <v>24</v>
      </c>
      <c r="E18" s="46"/>
      <c r="F18" s="47" t="s">
        <v>24</v>
      </c>
    </row>
    <row r="19" spans="1:6" x14ac:dyDescent="0.3">
      <c r="A19" s="29" t="s">
        <v>19</v>
      </c>
      <c r="B19" s="30" t="s">
        <v>32</v>
      </c>
      <c r="C19" s="31"/>
      <c r="D19" s="40"/>
      <c r="E19" s="49"/>
      <c r="F19" s="50"/>
    </row>
    <row r="20" spans="1:6" ht="27.6" x14ac:dyDescent="0.3">
      <c r="A20" s="15">
        <f>MAX(A12:A19)+1</f>
        <v>6</v>
      </c>
      <c r="B20" s="16" t="s">
        <v>33</v>
      </c>
      <c r="C20" s="17" t="s">
        <v>21</v>
      </c>
      <c r="D20" s="18">
        <v>500</v>
      </c>
      <c r="E20" s="19"/>
      <c r="F20" s="20">
        <f>ROUND($D20*E20,2)</f>
        <v>0</v>
      </c>
    </row>
    <row r="21" spans="1:6" ht="27.6" x14ac:dyDescent="0.3">
      <c r="A21" s="15">
        <f>MAX(A13:A20)+1</f>
        <v>7</v>
      </c>
      <c r="B21" s="16" t="s">
        <v>34</v>
      </c>
      <c r="C21" s="17" t="s">
        <v>21</v>
      </c>
      <c r="D21" s="18">
        <v>200</v>
      </c>
      <c r="E21" s="19"/>
      <c r="F21" s="20">
        <f>ROUND($D21*E21,2)</f>
        <v>0</v>
      </c>
    </row>
    <row r="22" spans="1:6" ht="15.6" x14ac:dyDescent="0.3">
      <c r="A22" s="44" t="s">
        <v>19</v>
      </c>
      <c r="B22" s="36" t="s">
        <v>35</v>
      </c>
      <c r="C22" s="37" t="s">
        <v>24</v>
      </c>
      <c r="D22" s="45" t="s">
        <v>24</v>
      </c>
      <c r="E22" s="46"/>
      <c r="F22" s="47" t="s">
        <v>24</v>
      </c>
    </row>
    <row r="23" spans="1:6" ht="15.6" x14ac:dyDescent="0.3">
      <c r="A23" s="29" t="s">
        <v>19</v>
      </c>
      <c r="B23" s="30" t="s">
        <v>36</v>
      </c>
      <c r="C23" s="54"/>
      <c r="D23" s="55"/>
      <c r="E23" s="56"/>
      <c r="F23" s="57"/>
    </row>
    <row r="24" spans="1:6" ht="27.6" x14ac:dyDescent="0.3">
      <c r="A24" s="15">
        <v>8</v>
      </c>
      <c r="B24" s="16" t="s">
        <v>37</v>
      </c>
      <c r="C24" s="17" t="s">
        <v>10</v>
      </c>
      <c r="D24" s="18">
        <v>380</v>
      </c>
      <c r="E24" s="19"/>
      <c r="F24" s="20">
        <f>ROUND($D24*E24,2)</f>
        <v>0</v>
      </c>
    </row>
    <row r="25" spans="1:6" ht="15.6" x14ac:dyDescent="0.3">
      <c r="A25" s="29" t="s">
        <v>19</v>
      </c>
      <c r="B25" s="30" t="s">
        <v>38</v>
      </c>
      <c r="C25" s="54"/>
      <c r="D25" s="58"/>
      <c r="E25" s="59"/>
      <c r="F25" s="60"/>
    </row>
    <row r="26" spans="1:6" ht="27.6" x14ac:dyDescent="0.3">
      <c r="A26" s="15">
        <f>MAX(A20:A25)+1</f>
        <v>9</v>
      </c>
      <c r="B26" s="16" t="s">
        <v>39</v>
      </c>
      <c r="C26" s="17" t="s">
        <v>10</v>
      </c>
      <c r="D26" s="18">
        <v>340</v>
      </c>
      <c r="E26" s="19"/>
      <c r="F26" s="20">
        <f>ROUND($D26*E26,2)</f>
        <v>0</v>
      </c>
    </row>
    <row r="27" spans="1:6" ht="15" thickBot="1" x14ac:dyDescent="0.35">
      <c r="A27" s="61"/>
      <c r="B27" s="62"/>
      <c r="C27" s="63"/>
      <c r="D27" s="63"/>
      <c r="E27" s="64" t="s">
        <v>40</v>
      </c>
      <c r="F27" s="65">
        <f>SUBTOTAL(9,F8:F26)</f>
        <v>0</v>
      </c>
    </row>
    <row r="28" spans="1:6" ht="15" thickTop="1" x14ac:dyDescent="0.3">
      <c r="A28" s="66"/>
      <c r="B28" s="66"/>
      <c r="C28" s="131" t="s">
        <v>15</v>
      </c>
      <c r="D28" s="132"/>
      <c r="E28" s="133"/>
      <c r="F28" s="67">
        <f>SUBTOTAL(9,F6:F27)</f>
        <v>0</v>
      </c>
    </row>
    <row r="29" spans="1:6" x14ac:dyDescent="0.3">
      <c r="A29" s="66"/>
      <c r="B29" s="66"/>
      <c r="C29" s="134" t="s">
        <v>16</v>
      </c>
      <c r="D29" s="118"/>
      <c r="E29" s="119"/>
      <c r="F29" s="21">
        <f>ROUND(F28*0.23,2)</f>
        <v>0</v>
      </c>
    </row>
    <row r="30" spans="1:6" ht="15" thickBot="1" x14ac:dyDescent="0.35">
      <c r="A30" s="66"/>
      <c r="B30" s="66"/>
      <c r="C30" s="135" t="s">
        <v>17</v>
      </c>
      <c r="D30" s="136"/>
      <c r="E30" s="137"/>
      <c r="F30" s="22">
        <f>SUM(F28:F29)</f>
        <v>0</v>
      </c>
    </row>
    <row r="31" spans="1:6" ht="15" thickTop="1" x14ac:dyDescent="0.3"/>
  </sheetData>
  <mergeCells count="4">
    <mergeCell ref="A6:F6"/>
    <mergeCell ref="C28:E28"/>
    <mergeCell ref="C29:E29"/>
    <mergeCell ref="C30:E30"/>
  </mergeCells>
  <conditionalFormatting sqref="E8:F9">
    <cfRule type="cellIs" dxfId="10" priority="4" stopIfTrue="1" operator="equal">
      <formula>0</formula>
    </cfRule>
  </conditionalFormatting>
  <conditionalFormatting sqref="E12:F12">
    <cfRule type="cellIs" dxfId="9" priority="7" stopIfTrue="1" operator="equal">
      <formula>0</formula>
    </cfRule>
  </conditionalFormatting>
  <conditionalFormatting sqref="E15:F15 E17:F17 E26:F26">
    <cfRule type="cellIs" dxfId="8" priority="5" stopIfTrue="1" operator="equal">
      <formula>0</formula>
    </cfRule>
  </conditionalFormatting>
  <conditionalFormatting sqref="E20:F21">
    <cfRule type="cellIs" dxfId="7" priority="1" stopIfTrue="1" operator="equal">
      <formula>0</formula>
    </cfRule>
  </conditionalFormatting>
  <conditionalFormatting sqref="E24:F24">
    <cfRule type="cellIs" dxfId="6" priority="2" stopIfTrue="1" operator="equal">
      <formula>0</formula>
    </cfRule>
  </conditionalFormatting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Informacje ogólne</vt:lpstr>
      <vt:lpstr>Sciegiennego jezdnia</vt:lpstr>
      <vt:lpstr>Sciegiennego chodniki</vt:lpstr>
      <vt:lpstr>Słowackiego jezdnia </vt:lpstr>
      <vt:lpstr>Słowackiego chodniki </vt:lpstr>
      <vt:lpstr>Dmowskiego jezdnia </vt:lpstr>
      <vt:lpstr>Dmowskiego chodniki</vt:lpstr>
      <vt:lpstr>Boh. Monte Cassino chodnik </vt:lpstr>
      <vt:lpstr>Parkowa  chodnik</vt:lpstr>
      <vt:lpstr>Krasickiego chodnik iścieżka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Rozmus</dc:creator>
  <cp:lastModifiedBy>Janusz Karczyński</cp:lastModifiedBy>
  <cp:lastPrinted>2023-03-22T07:14:32Z</cp:lastPrinted>
  <dcterms:created xsi:type="dcterms:W3CDTF">2016-09-02T10:47:54Z</dcterms:created>
  <dcterms:modified xsi:type="dcterms:W3CDTF">2023-11-06T20:04:10Z</dcterms:modified>
</cp:coreProperties>
</file>