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zbudowa\PnL\2022\PROJEKT\H2 ARCHITEKCI PAWILON\RYSUNKI\2022.03.10\"/>
    </mc:Choice>
  </mc:AlternateContent>
  <xr:revisionPtr revIDLastSave="0" documentId="13_ncr:1_{21C8A79B-75A5-44FB-BE67-55C706030F8D}" xr6:coauthVersionLast="47" xr6:coauthVersionMax="47" xr10:uidLastSave="{00000000-0000-0000-0000-000000000000}"/>
  <bookViews>
    <workbookView xWindow="4770" yWindow="3855" windowWidth="19005" windowHeight="12015" activeTab="2" xr2:uid="{1A977A06-0425-4D79-8EC7-637427A9DFC7}"/>
  </bookViews>
  <sheets>
    <sheet name="ELEMENTY DREWNIANE" sheetId="1" r:id="rId1"/>
    <sheet name="WYPOSAŻENIE SANITARNE" sheetId="6" r:id="rId2"/>
    <sheet name="WYPOSAŻENIE ELEKTRYCZNE" sheetId="5" r:id="rId3"/>
    <sheet name="POZYCJE" sheetId="4" r:id="rId4"/>
  </sheets>
  <definedNames>
    <definedName name="_xlnm.Print_Area" localSheetId="0">'ELEMENTY DREWNIANE'!$A$1:$I$339</definedName>
    <definedName name="_xlnm.Print_Titles" localSheetId="0">'ELEMENTY DREWNIANE'!$1:$3</definedName>
    <definedName name="_xlnm.Print_Titles" localSheetId="3">POZYCJE!$1:$1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9" i="1" l="1"/>
  <c r="G339" i="1"/>
  <c r="E338" i="1"/>
  <c r="H338" i="1" s="1"/>
  <c r="E135" i="1"/>
  <c r="H135" i="1" s="1"/>
  <c r="G134" i="1"/>
  <c r="H134" i="1"/>
  <c r="F280" i="1"/>
  <c r="G280" i="1" s="1"/>
  <c r="F279" i="1"/>
  <c r="G279" i="1" s="1"/>
  <c r="G278" i="1"/>
  <c r="H278" i="1"/>
  <c r="G277" i="1"/>
  <c r="H277" i="1"/>
  <c r="H268" i="1"/>
  <c r="H269" i="1"/>
  <c r="H271" i="1"/>
  <c r="H272" i="1"/>
  <c r="H273" i="1"/>
  <c r="H274" i="1"/>
  <c r="H275" i="1"/>
  <c r="H276" i="1"/>
  <c r="H267" i="1"/>
  <c r="H266" i="1"/>
  <c r="D270" i="1"/>
  <c r="H270" i="1" s="1"/>
  <c r="G265" i="1"/>
  <c r="H265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57" i="1"/>
  <c r="H257" i="1"/>
  <c r="G255" i="1"/>
  <c r="H255" i="1"/>
  <c r="G256" i="1"/>
  <c r="H256" i="1"/>
  <c r="F254" i="1"/>
  <c r="G253" i="1"/>
  <c r="H253" i="1"/>
  <c r="H252" i="1"/>
  <c r="G252" i="1"/>
  <c r="E250" i="1"/>
  <c r="H250" i="1" s="1"/>
  <c r="F245" i="1"/>
  <c r="H245" i="1" s="1"/>
  <c r="H247" i="1"/>
  <c r="H246" i="1"/>
  <c r="E244" i="1"/>
  <c r="E243" i="1"/>
  <c r="H242" i="1"/>
  <c r="G242" i="1"/>
  <c r="H241" i="1"/>
  <c r="G241" i="1"/>
  <c r="H203" i="1"/>
  <c r="E181" i="1"/>
  <c r="H181" i="1" s="1"/>
  <c r="G234" i="1"/>
  <c r="H234" i="1"/>
  <c r="H233" i="1"/>
  <c r="G233" i="1"/>
  <c r="F239" i="1"/>
  <c r="G239" i="1" s="1"/>
  <c r="F238" i="1"/>
  <c r="G238" i="1" s="1"/>
  <c r="F237" i="1"/>
  <c r="G237" i="1" s="1"/>
  <c r="E236" i="1"/>
  <c r="E235" i="1"/>
  <c r="H230" i="1"/>
  <c r="F231" i="1"/>
  <c r="H231" i="1" s="1"/>
  <c r="E229" i="1"/>
  <c r="H229" i="1" s="1"/>
  <c r="E228" i="1"/>
  <c r="H228" i="1" s="1"/>
  <c r="H227" i="1"/>
  <c r="G226" i="1"/>
  <c r="H226" i="1"/>
  <c r="G216" i="1"/>
  <c r="H216" i="1"/>
  <c r="G217" i="1"/>
  <c r="H217" i="1"/>
  <c r="G218" i="1"/>
  <c r="H218" i="1"/>
  <c r="G219" i="1"/>
  <c r="H219" i="1"/>
  <c r="G220" i="1"/>
  <c r="H220" i="1"/>
  <c r="G222" i="1"/>
  <c r="H222" i="1"/>
  <c r="G223" i="1"/>
  <c r="H223" i="1"/>
  <c r="G224" i="1"/>
  <c r="H224" i="1"/>
  <c r="G225" i="1"/>
  <c r="H225" i="1"/>
  <c r="F221" i="1"/>
  <c r="H221" i="1" s="1"/>
  <c r="F202" i="1"/>
  <c r="H202" i="1" s="1"/>
  <c r="F215" i="1"/>
  <c r="G215" i="1" s="1"/>
  <c r="G213" i="1"/>
  <c r="H213" i="1"/>
  <c r="F214" i="1"/>
  <c r="G214" i="1" s="1"/>
  <c r="G208" i="1"/>
  <c r="H208" i="1"/>
  <c r="G209" i="1"/>
  <c r="H209" i="1"/>
  <c r="G210" i="1"/>
  <c r="H210" i="1"/>
  <c r="G211" i="1"/>
  <c r="H211" i="1"/>
  <c r="F207" i="1"/>
  <c r="H206" i="1"/>
  <c r="G206" i="1"/>
  <c r="E212" i="1"/>
  <c r="H212" i="1" s="1"/>
  <c r="H205" i="1"/>
  <c r="G205" i="1"/>
  <c r="G195" i="1"/>
  <c r="H195" i="1"/>
  <c r="G196" i="1"/>
  <c r="H196" i="1"/>
  <c r="G197" i="1"/>
  <c r="H197" i="1"/>
  <c r="F193" i="1"/>
  <c r="H193" i="1" s="1"/>
  <c r="H201" i="1"/>
  <c r="H199" i="1"/>
  <c r="G199" i="1"/>
  <c r="H198" i="1"/>
  <c r="G198" i="1"/>
  <c r="H194" i="1"/>
  <c r="H192" i="1"/>
  <c r="G192" i="1"/>
  <c r="H191" i="1"/>
  <c r="G191" i="1"/>
  <c r="H190" i="1"/>
  <c r="G190" i="1"/>
  <c r="E189" i="1"/>
  <c r="G189" i="1" s="1"/>
  <c r="H188" i="1"/>
  <c r="G188" i="1"/>
  <c r="H187" i="1"/>
  <c r="G187" i="1"/>
  <c r="H186" i="1"/>
  <c r="G186" i="1"/>
  <c r="F185" i="1"/>
  <c r="H184" i="1"/>
  <c r="G184" i="1"/>
  <c r="G298" i="1"/>
  <c r="G299" i="1"/>
  <c r="G300" i="1"/>
  <c r="G301" i="1"/>
  <c r="H173" i="1"/>
  <c r="H170" i="1"/>
  <c r="E157" i="1"/>
  <c r="H176" i="1"/>
  <c r="G176" i="1"/>
  <c r="H175" i="1"/>
  <c r="H174" i="1"/>
  <c r="H172" i="1"/>
  <c r="H171" i="1"/>
  <c r="F149" i="1"/>
  <c r="H145" i="1"/>
  <c r="H147" i="1"/>
  <c r="F146" i="1"/>
  <c r="H146" i="1" s="1"/>
  <c r="F142" i="1"/>
  <c r="H144" i="1" s="1"/>
  <c r="H140" i="1"/>
  <c r="G140" i="1"/>
  <c r="H138" i="1"/>
  <c r="G138" i="1"/>
  <c r="H90" i="1"/>
  <c r="G90" i="1"/>
  <c r="H137" i="1"/>
  <c r="G137" i="1"/>
  <c r="H133" i="1"/>
  <c r="G133" i="1"/>
  <c r="G130" i="1"/>
  <c r="H130" i="1"/>
  <c r="G131" i="1"/>
  <c r="H131" i="1"/>
  <c r="H129" i="1"/>
  <c r="G129" i="1"/>
  <c r="G125" i="1"/>
  <c r="H125" i="1"/>
  <c r="H132" i="1"/>
  <c r="F124" i="1"/>
  <c r="G124" i="1" s="1"/>
  <c r="H126" i="1"/>
  <c r="G123" i="1"/>
  <c r="H123" i="1"/>
  <c r="E122" i="1"/>
  <c r="G122" i="1" s="1"/>
  <c r="F119" i="1"/>
  <c r="G119" i="1" s="1"/>
  <c r="F120" i="1"/>
  <c r="H120" i="1" s="1"/>
  <c r="F121" i="1"/>
  <c r="H121" i="1" s="1"/>
  <c r="G118" i="1"/>
  <c r="H118" i="1"/>
  <c r="G117" i="1"/>
  <c r="H117" i="1"/>
  <c r="G116" i="1"/>
  <c r="H116" i="1"/>
  <c r="G78" i="1"/>
  <c r="H78" i="1"/>
  <c r="G77" i="1"/>
  <c r="H77" i="1"/>
  <c r="F76" i="1"/>
  <c r="H75" i="1"/>
  <c r="G75" i="1"/>
  <c r="F111" i="1"/>
  <c r="E115" i="1"/>
  <c r="G115" i="1" s="1"/>
  <c r="G114" i="1"/>
  <c r="H114" i="1"/>
  <c r="G110" i="1"/>
  <c r="H110" i="1"/>
  <c r="G112" i="1"/>
  <c r="H112" i="1"/>
  <c r="G113" i="1"/>
  <c r="H113" i="1"/>
  <c r="H109" i="1"/>
  <c r="G109" i="1"/>
  <c r="F107" i="1"/>
  <c r="G107" i="1" s="1"/>
  <c r="H105" i="1"/>
  <c r="F106" i="1"/>
  <c r="G106" i="1" s="1"/>
  <c r="G105" i="1"/>
  <c r="G104" i="1"/>
  <c r="H104" i="1"/>
  <c r="F103" i="1"/>
  <c r="H103" i="1" s="1"/>
  <c r="H102" i="1"/>
  <c r="G100" i="1"/>
  <c r="H100" i="1"/>
  <c r="G101" i="1"/>
  <c r="H101" i="1"/>
  <c r="H99" i="1"/>
  <c r="G97" i="1"/>
  <c r="H97" i="1"/>
  <c r="E93" i="1"/>
  <c r="G93" i="1" s="1"/>
  <c r="H81" i="1"/>
  <c r="H79" i="1"/>
  <c r="G79" i="1"/>
  <c r="H83" i="1"/>
  <c r="F82" i="1"/>
  <c r="G95" i="1"/>
  <c r="H95" i="1"/>
  <c r="G96" i="1"/>
  <c r="H96" i="1"/>
  <c r="E94" i="1"/>
  <c r="G94" i="1" s="1"/>
  <c r="G102" i="1"/>
  <c r="G99" i="1"/>
  <c r="G98" i="1"/>
  <c r="E92" i="1"/>
  <c r="H92" i="1" s="1"/>
  <c r="G66" i="1"/>
  <c r="H66" i="1"/>
  <c r="G68" i="1"/>
  <c r="H68" i="1"/>
  <c r="G69" i="1"/>
  <c r="H69" i="1"/>
  <c r="G70" i="1"/>
  <c r="H70" i="1"/>
  <c r="G71" i="1"/>
  <c r="H71" i="1"/>
  <c r="H88" i="1"/>
  <c r="G88" i="1"/>
  <c r="H89" i="1"/>
  <c r="H87" i="1"/>
  <c r="E64" i="1"/>
  <c r="H64" i="1" s="1"/>
  <c r="H42" i="1"/>
  <c r="G42" i="1"/>
  <c r="F62" i="1"/>
  <c r="G62" i="1" s="1"/>
  <c r="F61" i="1"/>
  <c r="G61" i="1" s="1"/>
  <c r="G59" i="1"/>
  <c r="H59" i="1"/>
  <c r="H58" i="1"/>
  <c r="G58" i="1"/>
  <c r="H57" i="1"/>
  <c r="G57" i="1"/>
  <c r="H56" i="1"/>
  <c r="G56" i="1"/>
  <c r="H55" i="1"/>
  <c r="H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5" i="1"/>
  <c r="G45" i="1"/>
  <c r="H44" i="1"/>
  <c r="G44" i="1"/>
  <c r="F41" i="1"/>
  <c r="E41" i="1"/>
  <c r="H28" i="1"/>
  <c r="G28" i="1"/>
  <c r="H38" i="1"/>
  <c r="G38" i="1"/>
  <c r="H36" i="1"/>
  <c r="H37" i="1"/>
  <c r="G27" i="1"/>
  <c r="G30" i="1"/>
  <c r="G31" i="1"/>
  <c r="G32" i="1"/>
  <c r="G33" i="1"/>
  <c r="G34" i="1"/>
  <c r="G6" i="1"/>
  <c r="H30" i="1"/>
  <c r="H31" i="1"/>
  <c r="H32" i="1"/>
  <c r="H33" i="1"/>
  <c r="H34" i="1"/>
  <c r="H6" i="1"/>
  <c r="H27" i="1"/>
  <c r="H21" i="1"/>
  <c r="H10" i="1"/>
  <c r="H11" i="1"/>
  <c r="H12" i="1"/>
  <c r="H13" i="1"/>
  <c r="H14" i="1"/>
  <c r="H15" i="1"/>
  <c r="H16" i="1"/>
  <c r="H17" i="1"/>
  <c r="H19" i="1"/>
  <c r="H20" i="1"/>
  <c r="H8" i="1"/>
  <c r="G19" i="1"/>
  <c r="F18" i="1"/>
  <c r="H18" i="1" s="1"/>
  <c r="G10" i="1"/>
  <c r="G11" i="1"/>
  <c r="G12" i="1"/>
  <c r="G13" i="1"/>
  <c r="G14" i="1"/>
  <c r="G15" i="1"/>
  <c r="G16" i="1"/>
  <c r="G17" i="1"/>
  <c r="G8" i="1"/>
  <c r="E5" i="1"/>
  <c r="G330" i="1"/>
  <c r="G331" i="1"/>
  <c r="G332" i="1"/>
  <c r="F334" i="1"/>
  <c r="G334" i="1" s="1"/>
  <c r="F335" i="1"/>
  <c r="G335" i="1" s="1"/>
  <c r="G316" i="1"/>
  <c r="G317" i="1"/>
  <c r="F315" i="1"/>
  <c r="G315" i="1" s="1"/>
  <c r="F333" i="1"/>
  <c r="G333" i="1" s="1"/>
  <c r="G318" i="1"/>
  <c r="G319" i="1"/>
  <c r="G320" i="1"/>
  <c r="G321" i="1"/>
  <c r="G322" i="1"/>
  <c r="G323" i="1"/>
  <c r="G324" i="1"/>
  <c r="G325" i="1"/>
  <c r="G326" i="1"/>
  <c r="G327" i="1"/>
  <c r="G328" i="1"/>
  <c r="G307" i="1"/>
  <c r="G308" i="1"/>
  <c r="G309" i="1"/>
  <c r="G310" i="1"/>
  <c r="G311" i="1"/>
  <c r="G312" i="1"/>
  <c r="G313" i="1"/>
  <c r="F314" i="1"/>
  <c r="G314" i="1" s="1"/>
  <c r="G338" i="1" l="1"/>
  <c r="H280" i="1"/>
  <c r="H279" i="1"/>
  <c r="G250" i="1"/>
  <c r="G245" i="1"/>
  <c r="G246" i="1"/>
  <c r="G247" i="1"/>
  <c r="G181" i="1"/>
  <c r="G221" i="1"/>
  <c r="H239" i="1"/>
  <c r="H238" i="1"/>
  <c r="G231" i="1"/>
  <c r="H237" i="1"/>
  <c r="H215" i="1"/>
  <c r="H214" i="1"/>
  <c r="G202" i="1"/>
  <c r="G212" i="1"/>
  <c r="G193" i="1"/>
  <c r="H189" i="1"/>
  <c r="G194" i="1"/>
  <c r="G146" i="1"/>
  <c r="H142" i="1"/>
  <c r="F143" i="1"/>
  <c r="G120" i="1"/>
  <c r="H124" i="1"/>
  <c r="H107" i="1"/>
  <c r="H122" i="1"/>
  <c r="H119" i="1"/>
  <c r="G121" i="1"/>
  <c r="H106" i="1"/>
  <c r="H115" i="1"/>
  <c r="G103" i="1"/>
  <c r="H93" i="1"/>
  <c r="H94" i="1"/>
  <c r="G92" i="1"/>
  <c r="G87" i="1"/>
  <c r="G89" i="1"/>
  <c r="G64" i="1"/>
  <c r="H41" i="1"/>
  <c r="H61" i="1"/>
  <c r="H62" i="1"/>
  <c r="G5" i="1"/>
  <c r="G41" i="1"/>
  <c r="H5" i="1"/>
  <c r="G18" i="1"/>
  <c r="G342" i="1" l="1"/>
  <c r="G302" i="1"/>
  <c r="G303" i="1"/>
  <c r="G304" i="1"/>
  <c r="G305" i="1"/>
  <c r="G306" i="1"/>
</calcChain>
</file>

<file path=xl/sharedStrings.xml><?xml version="1.0" encoding="utf-8"?>
<sst xmlns="http://schemas.openxmlformats.org/spreadsheetml/2006/main" count="689" uniqueCount="361">
  <si>
    <t>Mostek</t>
  </si>
  <si>
    <t>obj. 
[m³]</t>
  </si>
  <si>
    <t>ilosć
[szt.]</t>
  </si>
  <si>
    <t>konstrukcja</t>
  </si>
  <si>
    <t>stężenia</t>
  </si>
  <si>
    <t>SEKTOR A</t>
  </si>
  <si>
    <t>SEKTOR B</t>
  </si>
  <si>
    <t>SEKTOR C</t>
  </si>
  <si>
    <t>SEKTOR F</t>
  </si>
  <si>
    <t>SEKTOR G</t>
  </si>
  <si>
    <t>SEKTOR H</t>
  </si>
  <si>
    <t>Schody proste</t>
  </si>
  <si>
    <t>ELEMENT</t>
  </si>
  <si>
    <t>balustrady - pochwyty</t>
  </si>
  <si>
    <t>balustrady - słupki</t>
  </si>
  <si>
    <t>Belki biegów</t>
  </si>
  <si>
    <t>podwaliny</t>
  </si>
  <si>
    <t>oparcie biegów</t>
  </si>
  <si>
    <t>słupy</t>
  </si>
  <si>
    <t>rygle</t>
  </si>
  <si>
    <t>belki główne</t>
  </si>
  <si>
    <t>rygiel</t>
  </si>
  <si>
    <t>stężenia słupów</t>
  </si>
  <si>
    <t>słupy (z fund.)</t>
  </si>
  <si>
    <t>słupy na podwalinie</t>
  </si>
  <si>
    <t>stężenia słupów na podwalinie</t>
  </si>
  <si>
    <t>stężenia słupów fund.</t>
  </si>
  <si>
    <t>fundamenty - rura PVC</t>
  </si>
  <si>
    <t>pokład</t>
  </si>
  <si>
    <t>policzki</t>
  </si>
  <si>
    <t>elementy trójkątne (prost. /2)</t>
  </si>
  <si>
    <t>stęzenia stopni</t>
  </si>
  <si>
    <t>Pokłady - moduły 150 x 150</t>
  </si>
  <si>
    <t>szer. 
[cm]</t>
  </si>
  <si>
    <t>wys. 
[cm]</t>
  </si>
  <si>
    <t>dł.  
[cm]</t>
  </si>
  <si>
    <t>stężenie</t>
  </si>
  <si>
    <t>szczeble na elewacji</t>
  </si>
  <si>
    <t>słupy - złożone z 3 belek 4 x 8</t>
  </si>
  <si>
    <t>fundament</t>
  </si>
  <si>
    <t>zastrzały</t>
  </si>
  <si>
    <t>płatwie dachu</t>
  </si>
  <si>
    <t>pow. 
[m²]</t>
  </si>
  <si>
    <t>dach</t>
  </si>
  <si>
    <t>elewacja</t>
  </si>
  <si>
    <t>rygle - złożone z 4 belek 4 x 8</t>
  </si>
  <si>
    <t>rygiel na krawędzi spływu dachu - złożone z 3 belek 4 x 8</t>
  </si>
  <si>
    <t>Próg / stopień w pokładach</t>
  </si>
  <si>
    <t>Bar zewnętrzny</t>
  </si>
  <si>
    <t>okładzina elewacji - sklejka wodoodporna 2 cm  (do impregnacji przyjąć x2)</t>
  </si>
  <si>
    <t>podkonstrukcja - sklejka wodoodporna 2 cm (do impregnacji przyjąć x2)</t>
  </si>
  <si>
    <t>szczebelki</t>
  </si>
  <si>
    <t>słupy - złożone z 3 belek 4 x 8 (słupy dłuższe ze wzgl. na obniżenie terenu)</t>
  </si>
  <si>
    <t>Pergola rekreacyjna 
(w sektorze A cz. niezadaszona)</t>
  </si>
  <si>
    <t>każdy moduł to 19 listew  4 x 8 x 150</t>
  </si>
  <si>
    <t>rygiel na krawędzi spływu dachu - złożone z 2 belek 4 x 8</t>
  </si>
  <si>
    <t>szczebelki sufitu</t>
  </si>
  <si>
    <t>szczebelki ścian</t>
  </si>
  <si>
    <t>moduły przyścienne "L" 45 + 55 cm</t>
  </si>
  <si>
    <t>listwy stężające</t>
  </si>
  <si>
    <t>próg</t>
  </si>
  <si>
    <t>moduły "L" 45 + 55 +45 cm</t>
  </si>
  <si>
    <t>mocowania koszy</t>
  </si>
  <si>
    <t>fundamenty</t>
  </si>
  <si>
    <t>stężenia rygli</t>
  </si>
  <si>
    <t>rygle / oczepy</t>
  </si>
  <si>
    <t>kosze / siedziska</t>
  </si>
  <si>
    <t>Huśtawka</t>
  </si>
  <si>
    <t>siedziska</t>
  </si>
  <si>
    <t>Ławki</t>
  </si>
  <si>
    <t>balustrady</t>
  </si>
  <si>
    <t>słupy - złożone z 4 belek 4 x 8 (słupy dłuższe ze wzgl. na obniżenie terenu)</t>
  </si>
  <si>
    <t>słupy - złożone z 4 belek 4 x 8</t>
  </si>
  <si>
    <t>SEKTOR D+E</t>
  </si>
  <si>
    <t>prowadnice stalowe</t>
  </si>
  <si>
    <t>belki poprzeczne</t>
  </si>
  <si>
    <t>wózki belek poprzecznych</t>
  </si>
  <si>
    <t>tkanina zadaszenia (bez zakładek, itp..)</t>
  </si>
  <si>
    <t>rynna</t>
  </si>
  <si>
    <t>zadaszenia</t>
  </si>
  <si>
    <t>usztywnienie</t>
  </si>
  <si>
    <t>pół-tunel z tkaniany</t>
  </si>
  <si>
    <t>Składane zadaszenie</t>
  </si>
  <si>
    <t>w sektorze D (każdy moduł to 19 listew  4 x 8 x 150)</t>
  </si>
  <si>
    <t>w sektorze E (każdy moduł to 19 listew  4 x 8 x 150)</t>
  </si>
  <si>
    <t>w sektorze D Próg / stopień w pokładach</t>
  </si>
  <si>
    <t>w sektorze E Próg / stopień w pokładach</t>
  </si>
  <si>
    <t>w sektorze E balustrady - pochwyty</t>
  </si>
  <si>
    <t>w sektorze E balustrady - słupki</t>
  </si>
  <si>
    <t>w sektorze D balustrady - pochwyty</t>
  </si>
  <si>
    <t>schody na skarpę</t>
  </si>
  <si>
    <t>podwaliny schodów</t>
  </si>
  <si>
    <t>policzki - elementy trójkątne (prost. /2)</t>
  </si>
  <si>
    <t>dekowanie stopni</t>
  </si>
  <si>
    <t>stężenie stopni</t>
  </si>
  <si>
    <t xml:space="preserve">belki pod pomostem - belki "2T" z 3 belek 4x8 </t>
  </si>
  <si>
    <t>wzdłużnice  - złożone z 4 belek 4 x 8</t>
  </si>
  <si>
    <t>Pomost (część w sektorze D+E)</t>
  </si>
  <si>
    <t>pokład górny</t>
  </si>
  <si>
    <t>deskowanie pokładu</t>
  </si>
  <si>
    <t>balustrady - profile nachodzące na szklarnię</t>
  </si>
  <si>
    <t>pochwyt</t>
  </si>
  <si>
    <t>płatwie formujące spadek</t>
  </si>
  <si>
    <t>rynna PVC</t>
  </si>
  <si>
    <t>rura spustowa PVC</t>
  </si>
  <si>
    <t>dach - sektor D</t>
  </si>
  <si>
    <t>dach - sektor E</t>
  </si>
  <si>
    <t>szczebelki dachu</t>
  </si>
  <si>
    <t>poszycie dachu</t>
  </si>
  <si>
    <t>szczebelki na ścianie - sektor E</t>
  </si>
  <si>
    <t>Szczebelki</t>
  </si>
  <si>
    <t>Ławka</t>
  </si>
  <si>
    <t>Zadaszenia składane</t>
  </si>
  <si>
    <t>pas zaktywający szczelinę mięszy zadaszeniami - stały fragment zadaszenia</t>
  </si>
  <si>
    <t>Szklarnia</t>
  </si>
  <si>
    <t>szprosy</t>
  </si>
  <si>
    <t>szkło</t>
  </si>
  <si>
    <t>szklenie</t>
  </si>
  <si>
    <t>półki</t>
  </si>
  <si>
    <t>sklejka wodoodporna 2 cm</t>
  </si>
  <si>
    <t>słupki</t>
  </si>
  <si>
    <t>słupki przy drzwiach</t>
  </si>
  <si>
    <t>podwalina - z 2 belk 4x8</t>
  </si>
  <si>
    <t>szprosy przy drzwiach</t>
  </si>
  <si>
    <t>drzwi</t>
  </si>
  <si>
    <t>szkło w drzwiach</t>
  </si>
  <si>
    <t>prowadnica górna drzwi</t>
  </si>
  <si>
    <t>maskownica prowadnicy</t>
  </si>
  <si>
    <t>prowadnica dolna drzwi</t>
  </si>
  <si>
    <t>słupek naświetla drzwi</t>
  </si>
  <si>
    <t>ramka szklenia naświetla</t>
  </si>
  <si>
    <t>szkło w naświetlu</t>
  </si>
  <si>
    <t>drzwi przesuwne</t>
  </si>
  <si>
    <t>Pomost (część w sektorze F)</t>
  </si>
  <si>
    <t>krokwie</t>
  </si>
  <si>
    <t>dach - sektor f</t>
  </si>
  <si>
    <t>Schody 2-biegowe</t>
  </si>
  <si>
    <t xml:space="preserve">belki pod spocznikiem - belki "2T" z 3 belek 4x8 </t>
  </si>
  <si>
    <t>rygle spocznika</t>
  </si>
  <si>
    <t>belki biegów</t>
  </si>
  <si>
    <t>deskowanie</t>
  </si>
  <si>
    <t>deskowanie spocznika</t>
  </si>
  <si>
    <t>deskowanie stopni</t>
  </si>
  <si>
    <t>policzki schodów (prostokąt dzielony /2)</t>
  </si>
  <si>
    <t>Sklejka</t>
  </si>
  <si>
    <t>daszek pod biegiem schodów</t>
  </si>
  <si>
    <t>płatwie</t>
  </si>
  <si>
    <t>Pergola 
(w sektorze B cz. zadaszona)</t>
  </si>
  <si>
    <t>Wrota 1 x 1,5 m</t>
  </si>
  <si>
    <t>Wrota 2 x 3 m</t>
  </si>
  <si>
    <t>blat 4 cm wykończony płytą Al. / stalową / kompozytem</t>
  </si>
  <si>
    <t>żebra baru - sklejka 2 cm</t>
  </si>
  <si>
    <t>szczebelki dekoracyjne od frontu</t>
  </si>
  <si>
    <t>słupki do stabilizowania prowadnicy dolnej</t>
  </si>
  <si>
    <t>oczep do mocowania prowadniy górnej + maskownica</t>
  </si>
  <si>
    <t>prowadnice</t>
  </si>
  <si>
    <t>prowadnica dolna</t>
  </si>
  <si>
    <t>prowadnica górna - mocowania wg. producenta</t>
  </si>
  <si>
    <t>wrota</t>
  </si>
  <si>
    <t>Bar - wiata</t>
  </si>
  <si>
    <t>Bar - mebel</t>
  </si>
  <si>
    <t>blaty - sklejka wodoodporna 4 cm (do impregnacji przyjąć x2) obłożona Al. / stalą nierdz.</t>
  </si>
  <si>
    <t>słupy - złożone z 4 belek 4 x 9</t>
  </si>
  <si>
    <t>oczep</t>
  </si>
  <si>
    <t>łaty</t>
  </si>
  <si>
    <t>ściany</t>
  </si>
  <si>
    <t>sklejka wodoodporna 2 cm (do impregnacji x2)</t>
  </si>
  <si>
    <t>Bar - meble</t>
  </si>
  <si>
    <t>blat - zmywalnia</t>
  </si>
  <si>
    <t>podkonstrukcja blatu - skleja w 2 cm</t>
  </si>
  <si>
    <t>blat</t>
  </si>
  <si>
    <t>blat- wydawalnia 2</t>
  </si>
  <si>
    <t>blat- wydawalnia 1</t>
  </si>
  <si>
    <t>kredens</t>
  </si>
  <si>
    <t>półki 2</t>
  </si>
  <si>
    <t>Półki w wiacie zapleczowej</t>
  </si>
  <si>
    <t xml:space="preserve"> sklejka wodoodporna 2 cm  (do impregnacji przyjąć x2)</t>
  </si>
  <si>
    <t>A1</t>
  </si>
  <si>
    <t>A2</t>
  </si>
  <si>
    <t>A3</t>
  </si>
  <si>
    <t>A4</t>
  </si>
  <si>
    <t>B</t>
  </si>
  <si>
    <t>B1</t>
  </si>
  <si>
    <t>B2</t>
  </si>
  <si>
    <t>C</t>
  </si>
  <si>
    <t>C1</t>
  </si>
  <si>
    <t>DE</t>
  </si>
  <si>
    <t>DE1</t>
  </si>
  <si>
    <t>DE2</t>
  </si>
  <si>
    <t>DE3</t>
  </si>
  <si>
    <t>DE4</t>
  </si>
  <si>
    <t>F</t>
  </si>
  <si>
    <t>F1</t>
  </si>
  <si>
    <t>F2</t>
  </si>
  <si>
    <t>F3</t>
  </si>
  <si>
    <t>F4</t>
  </si>
  <si>
    <t>F5</t>
  </si>
  <si>
    <t>F6</t>
  </si>
  <si>
    <t>G</t>
  </si>
  <si>
    <t>G1</t>
  </si>
  <si>
    <t>G2</t>
  </si>
  <si>
    <t>H</t>
  </si>
  <si>
    <t>H1</t>
  </si>
  <si>
    <t>H2</t>
  </si>
  <si>
    <t>H2.1</t>
  </si>
  <si>
    <t>H2.2</t>
  </si>
  <si>
    <t>H2.3</t>
  </si>
  <si>
    <t>h2.4</t>
  </si>
  <si>
    <t>A5</t>
  </si>
  <si>
    <t>DE5</t>
  </si>
  <si>
    <t xml:space="preserve">Obudowany kontenera WC 
oraz wiata zapleczowa </t>
  </si>
  <si>
    <t>kontener WC  dostarcza Zamawiający</t>
  </si>
  <si>
    <t>C2</t>
  </si>
  <si>
    <t>C3</t>
  </si>
  <si>
    <t>C4</t>
  </si>
  <si>
    <t>Siatka zabezpieczająca</t>
  </si>
  <si>
    <t>wsporniki siatki</t>
  </si>
  <si>
    <t>siatka nylonowa, ciemnoszara</t>
  </si>
  <si>
    <t>H1.1</t>
  </si>
  <si>
    <t>H1.2</t>
  </si>
  <si>
    <t>H1.3</t>
  </si>
  <si>
    <t>A2.1</t>
  </si>
  <si>
    <t>A2.2</t>
  </si>
  <si>
    <t>A2.3</t>
  </si>
  <si>
    <t>A4.1</t>
  </si>
  <si>
    <t>B2.1</t>
  </si>
  <si>
    <t>B2.2</t>
  </si>
  <si>
    <t>B2.3</t>
  </si>
  <si>
    <t>C2.1</t>
  </si>
  <si>
    <t>C3.1</t>
  </si>
  <si>
    <t>C3.2</t>
  </si>
  <si>
    <t>C3.3</t>
  </si>
  <si>
    <t>DE1.2</t>
  </si>
  <si>
    <t>DE2.2</t>
  </si>
  <si>
    <t>DE1.1</t>
  </si>
  <si>
    <t>pokłady</t>
  </si>
  <si>
    <t>DE1.3</t>
  </si>
  <si>
    <t>DE2.1</t>
  </si>
  <si>
    <t>DE2.3</t>
  </si>
  <si>
    <t>DE2.4</t>
  </si>
  <si>
    <t>DE2.5</t>
  </si>
  <si>
    <t>DE4.1</t>
  </si>
  <si>
    <t>DE4.2</t>
  </si>
  <si>
    <t>DE4.3</t>
  </si>
  <si>
    <t>DE5.1</t>
  </si>
  <si>
    <t>DE5.2</t>
  </si>
  <si>
    <t>DE5.3</t>
  </si>
  <si>
    <t>DE5.4</t>
  </si>
  <si>
    <t>F2.1</t>
  </si>
  <si>
    <t>F2.2</t>
  </si>
  <si>
    <t>F2.3</t>
  </si>
  <si>
    <t>F3.4</t>
  </si>
  <si>
    <t>F2.4</t>
  </si>
  <si>
    <t>F2.5</t>
  </si>
  <si>
    <t>F2.6</t>
  </si>
  <si>
    <t>F3.1</t>
  </si>
  <si>
    <t>F3.2</t>
  </si>
  <si>
    <t>F3.3</t>
  </si>
  <si>
    <t>C2.2</t>
  </si>
  <si>
    <t>A</t>
  </si>
  <si>
    <t>G1.1</t>
  </si>
  <si>
    <t>G1.2</t>
  </si>
  <si>
    <t>G1.3</t>
  </si>
  <si>
    <t>G2.1</t>
  </si>
  <si>
    <t>G2.2</t>
  </si>
  <si>
    <t>G2.3</t>
  </si>
  <si>
    <t>G2.4</t>
  </si>
  <si>
    <t>G2.5</t>
  </si>
  <si>
    <t>G2.6</t>
  </si>
  <si>
    <t>SEKTOR I</t>
  </si>
  <si>
    <t>I</t>
  </si>
  <si>
    <t>WYPOSAŻENIE ELEKTRYCZNE</t>
  </si>
  <si>
    <t>1.</t>
  </si>
  <si>
    <t>Rozdzielnica główna RE wg rys. nr E-2</t>
  </si>
  <si>
    <t>2.</t>
  </si>
  <si>
    <t>Kabel YKY 5 x 10 mm2</t>
  </si>
  <si>
    <t>3.</t>
  </si>
  <si>
    <t>Przewód YDYżo 5 x 2,5 mm2</t>
  </si>
  <si>
    <t>4.</t>
  </si>
  <si>
    <t>Przewód YDYżo 3 x 2,5 mm2</t>
  </si>
  <si>
    <t>5.</t>
  </si>
  <si>
    <t>Przewód YDYżo 3 x 1,5 mm2</t>
  </si>
  <si>
    <t>6.</t>
  </si>
  <si>
    <t>Przewód YDYżo 2 x 1,5 mm2</t>
  </si>
  <si>
    <t>7.</t>
  </si>
  <si>
    <t>Przewód YDY 3 x 1,5 mm2</t>
  </si>
  <si>
    <t>8.</t>
  </si>
  <si>
    <t>Przewód YDY 2x1,5 mm²</t>
  </si>
  <si>
    <t>9.</t>
  </si>
  <si>
    <t>Przewód LY 2,5 mm</t>
  </si>
  <si>
    <t>10.</t>
  </si>
  <si>
    <t>Przewód YTKSY 2 x 2 x 1</t>
  </si>
  <si>
    <t>11.</t>
  </si>
  <si>
    <t>Płaskownik FeZn 35x4 – główna szyna wyrównawcza</t>
  </si>
  <si>
    <t>12.</t>
  </si>
  <si>
    <t>Rury ochronne RGKS 25</t>
  </si>
  <si>
    <t>13.</t>
  </si>
  <si>
    <t>Neony (wg doboru Inwestora)</t>
  </si>
  <si>
    <t>14.</t>
  </si>
  <si>
    <t>Reflektory, naświetlacze (wg doboru Inwestora)</t>
  </si>
  <si>
    <t>15.</t>
  </si>
  <si>
    <t>Oprawy górne – lampy (wg doboru Inwestora)</t>
  </si>
  <si>
    <t>16.</t>
  </si>
  <si>
    <t>Girlandy – 466 żarówek ( wg doboru Inwestora)</t>
  </si>
  <si>
    <t>17.</t>
  </si>
  <si>
    <t>Główny przycisk p.poż.</t>
  </si>
  <si>
    <t>18.</t>
  </si>
  <si>
    <t>Gniazda wtyczkowe natynkowe 3-fazowe, 3P+N+Z, 16A, 400 V, IP44</t>
  </si>
  <si>
    <t>19.</t>
  </si>
  <si>
    <t>20.</t>
  </si>
  <si>
    <t xml:space="preserve">Gniazda wtyczkowe 16 A, 250 V natynkowe, szczelne z bolcem ochronnym </t>
  </si>
  <si>
    <t>21.</t>
  </si>
  <si>
    <t>Gniazda wtyczkowe 16 A, 250 V natynkowe, z bolcem ochronnym –  5 szt.</t>
  </si>
  <si>
    <t>22.</t>
  </si>
  <si>
    <t xml:space="preserve">Gniazda wtyczkowe 16 A, 250 V natynkowe, podwójne z bolcem ochronnym </t>
  </si>
  <si>
    <t>23.</t>
  </si>
  <si>
    <t>24.</t>
  </si>
  <si>
    <t>Gniazdo GKP-28 FSE 2xRJ45 KRONE LSA</t>
  </si>
  <si>
    <t>25.</t>
  </si>
  <si>
    <t>Gniazdo TV</t>
  </si>
  <si>
    <t>26.</t>
  </si>
  <si>
    <t>Dzwonek bezprzewodowy</t>
  </si>
  <si>
    <t>27.</t>
  </si>
  <si>
    <t>Wyłączniki oświetleniowe jednobiegunowe, szczelne</t>
  </si>
  <si>
    <t>28.</t>
  </si>
  <si>
    <t>Wyłączniki oświetleniowe świecznikowe, szczelne</t>
  </si>
  <si>
    <t>szt.</t>
  </si>
  <si>
    <t>m</t>
  </si>
  <si>
    <t>Gniazda wtykowe 16 A, 250 V dedykowane dla komputerów, podwójne typu Mosaic 45, 1L+N+PE, IP20 + blokada</t>
  </si>
  <si>
    <t>Gniazda wtykowe natynkowe 16 A, 250 V, IP55-IK07, 2P+Z z przesłoną styków, automatyczne zaciski sprężynowe</t>
  </si>
  <si>
    <t>Ilośc</t>
  </si>
  <si>
    <t>jedn.</t>
  </si>
  <si>
    <t>B3</t>
  </si>
  <si>
    <t>I1</t>
  </si>
  <si>
    <t>I2</t>
  </si>
  <si>
    <t>DE6</t>
  </si>
  <si>
    <t>Stojaki na rowery</t>
  </si>
  <si>
    <t xml:space="preserve">wykładzina </t>
  </si>
  <si>
    <t>G2.7</t>
  </si>
  <si>
    <t>WYPOSAŻENIE SANITARNE</t>
  </si>
  <si>
    <t>Podgrzewacz przepływowy do wody</t>
  </si>
  <si>
    <t>Wąż zailający</t>
  </si>
  <si>
    <t>Zbiornik na ścieki</t>
  </si>
  <si>
    <t>baterie kuchenne</t>
  </si>
  <si>
    <t>baterie umywalkowe</t>
  </si>
  <si>
    <t>mb.</t>
  </si>
  <si>
    <t>zlewozmywak stalowy 2-komorowy, nablatowy z armaturą</t>
  </si>
  <si>
    <t>zlewozmywak 1-komorowy, nablatowy z armaturą</t>
  </si>
  <si>
    <t>umywalka 1-komorowa nablatowa z armaturą</t>
  </si>
  <si>
    <t>rury / armatura 50 mm</t>
  </si>
  <si>
    <t>Ława</t>
  </si>
  <si>
    <t>wykładzina PVC NRO - zaplecze baru + pawilon zapleczowy</t>
  </si>
  <si>
    <t>odpowietrzenie zbiornika</t>
  </si>
  <si>
    <t>kpl.</t>
  </si>
  <si>
    <t>przewód od opróżniania zbiornika + ztudzienka + zawór</t>
  </si>
  <si>
    <t>Długość słupów podana z dodatkiem 70 cm na fundament 
pow. elementów do impregnacji</t>
  </si>
  <si>
    <t>OBJĘTOŚĆ ŁĄCZNIE</t>
  </si>
  <si>
    <t>100% NOWE</t>
  </si>
  <si>
    <t>50% NOWE</t>
  </si>
  <si>
    <t>STARE</t>
  </si>
  <si>
    <t>LEGENDA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</si>
</sst>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9"/>
      <color theme="1"/>
      <name val="Tylbor"/>
      <family val="2"/>
      <charset val="238"/>
    </font>
    <font>
      <sz val="18"/>
      <color theme="1"/>
      <name val="Tylbor"/>
      <family val="2"/>
      <charset val="238"/>
    </font>
    <font>
      <sz val="14"/>
      <color theme="1"/>
      <name val="Tylbor"/>
      <family val="2"/>
      <charset val="238"/>
    </font>
    <font>
      <sz val="12"/>
      <color theme="1"/>
      <name val="Tylbor"/>
      <family val="2"/>
      <charset val="238"/>
    </font>
    <font>
      <sz val="8"/>
      <name val="Tylbor"/>
      <family val="2"/>
      <charset val="238"/>
    </font>
    <font>
      <b/>
      <sz val="8"/>
      <color theme="1"/>
      <name val="Tylbor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ont="1" applyFill="1"/>
    <xf numFmtId="0" fontId="0" fillId="3" borderId="0" xfId="0" applyFill="1"/>
    <xf numFmtId="0" fontId="0" fillId="4" borderId="0" xfId="0" applyFont="1" applyFill="1"/>
    <xf numFmtId="0" fontId="0" fillId="4" borderId="0" xfId="0" applyFill="1"/>
    <xf numFmtId="0" fontId="0" fillId="5" borderId="0" xfId="0" applyFont="1" applyFill="1"/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1" xfId="0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1" xfId="0" applyFill="1" applyBorder="1"/>
    <xf numFmtId="0" fontId="2" fillId="0" borderId="1" xfId="0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wrapText="1"/>
    </xf>
    <xf numFmtId="0" fontId="0" fillId="5" borderId="1" xfId="0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5" fillId="0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98790-389F-43DF-B3AD-F6BFC0FD823C}">
  <sheetPr>
    <pageSetUpPr fitToPage="1"/>
  </sheetPr>
  <dimension ref="A1:M342"/>
  <sheetViews>
    <sheetView zoomScale="115" zoomScaleNormal="115" zoomScaleSheetLayoutView="160" workbookViewId="0">
      <pane ySplit="3" topLeftCell="A4" activePane="bottomLeft" state="frozen"/>
      <selection pane="bottomLeft" activeCell="L7" sqref="L7"/>
    </sheetView>
  </sheetViews>
  <sheetFormatPr defaultColWidth="9.28515625" defaultRowHeight="12"/>
  <cols>
    <col min="1" max="1" width="5.28515625" style="1" customWidth="1"/>
    <col min="2" max="2" width="18.28515625" style="3" customWidth="1"/>
    <col min="3" max="3" width="6.7109375" style="1" customWidth="1"/>
    <col min="4" max="4" width="6.28515625" style="1" customWidth="1"/>
    <col min="5" max="5" width="6.140625" style="1" customWidth="1"/>
    <col min="6" max="8" width="4.85546875" style="1" customWidth="1"/>
    <col min="9" max="9" width="24.140625" style="3" customWidth="1"/>
    <col min="10" max="15" width="9.28515625" style="1"/>
    <col min="16" max="16" width="19.28515625" style="1" customWidth="1"/>
    <col min="17" max="16384" width="9.28515625" style="1"/>
  </cols>
  <sheetData>
    <row r="1" spans="1:13" ht="36" customHeight="1" thickBot="1">
      <c r="B1" s="40" t="s">
        <v>360</v>
      </c>
      <c r="C1" s="41" t="s">
        <v>357</v>
      </c>
      <c r="D1" s="42" t="s">
        <v>358</v>
      </c>
      <c r="E1" s="43" t="s">
        <v>359</v>
      </c>
    </row>
    <row r="2" spans="1:13" ht="8.25" customHeight="1"/>
    <row r="3" spans="1:13" ht="69" customHeight="1">
      <c r="A3" s="19"/>
      <c r="B3" s="20" t="s">
        <v>12</v>
      </c>
      <c r="C3" s="18" t="s">
        <v>33</v>
      </c>
      <c r="D3" s="18" t="s">
        <v>34</v>
      </c>
      <c r="E3" s="18" t="s">
        <v>35</v>
      </c>
      <c r="F3" s="18" t="s">
        <v>2</v>
      </c>
      <c r="G3" s="18" t="s">
        <v>1</v>
      </c>
      <c r="H3" s="18" t="s">
        <v>42</v>
      </c>
      <c r="I3" s="18" t="s">
        <v>355</v>
      </c>
      <c r="K3" s="44"/>
      <c r="L3" s="44"/>
      <c r="M3" s="44"/>
    </row>
    <row r="4" spans="1:13" s="4" customFormat="1" ht="18">
      <c r="A4" s="21" t="s">
        <v>259</v>
      </c>
      <c r="B4" s="21" t="s">
        <v>5</v>
      </c>
      <c r="C4" s="22"/>
      <c r="D4" s="22"/>
      <c r="E4" s="22"/>
      <c r="F4" s="22"/>
      <c r="G4" s="22"/>
      <c r="H4" s="22"/>
      <c r="I4" s="22"/>
    </row>
    <row r="5" spans="1:13" s="4" customFormat="1" ht="30">
      <c r="A5" s="23" t="s">
        <v>177</v>
      </c>
      <c r="B5" s="24" t="s">
        <v>32</v>
      </c>
      <c r="C5" s="22">
        <v>8</v>
      </c>
      <c r="D5" s="22">
        <v>4</v>
      </c>
      <c r="E5" s="22">
        <f>19*150</f>
        <v>2850</v>
      </c>
      <c r="F5" s="22">
        <v>69</v>
      </c>
      <c r="G5" s="19">
        <f t="shared" ref="G5" si="0">ROUND((C5*D5*E5)*F5/1000000,3)</f>
        <v>6.2930000000000001</v>
      </c>
      <c r="H5" s="19">
        <f t="shared" ref="H5:H34" si="1">F5*(2*C5*E5+2*D5*E5+2*C5*D5)/10000</f>
        <v>472.40159999999997</v>
      </c>
      <c r="I5" s="22" t="s">
        <v>54</v>
      </c>
    </row>
    <row r="6" spans="1:13" s="4" customFormat="1" ht="15">
      <c r="A6" s="25"/>
      <c r="B6" s="24"/>
      <c r="C6" s="22">
        <v>5</v>
      </c>
      <c r="D6" s="22">
        <v>20</v>
      </c>
      <c r="E6" s="22">
        <v>292</v>
      </c>
      <c r="F6" s="22">
        <v>4</v>
      </c>
      <c r="G6" s="19">
        <f>ROUND((C6*D6*E6)*F6/1000000,3)</f>
        <v>0.11700000000000001</v>
      </c>
      <c r="H6" s="19">
        <f>F6*(2*C6*E6+2*D6*E6+2*C6*D6)/10000</f>
        <v>5.92</v>
      </c>
      <c r="I6" s="22" t="s">
        <v>47</v>
      </c>
    </row>
    <row r="7" spans="1:13" s="4" customFormat="1" ht="60">
      <c r="A7" s="23" t="s">
        <v>178</v>
      </c>
      <c r="B7" s="24" t="s">
        <v>210</v>
      </c>
      <c r="C7" s="22"/>
      <c r="D7" s="22"/>
      <c r="E7" s="22"/>
      <c r="F7" s="22"/>
      <c r="G7" s="22"/>
      <c r="H7" s="22"/>
      <c r="I7" s="22" t="s">
        <v>211</v>
      </c>
    </row>
    <row r="8" spans="1:13" s="4" customFormat="1">
      <c r="A8" s="25" t="s">
        <v>221</v>
      </c>
      <c r="B8" s="22" t="s">
        <v>3</v>
      </c>
      <c r="C8" s="22">
        <v>8</v>
      </c>
      <c r="D8" s="22">
        <v>12</v>
      </c>
      <c r="E8" s="22">
        <v>362</v>
      </c>
      <c r="F8" s="22">
        <v>10</v>
      </c>
      <c r="G8" s="19">
        <f t="shared" ref="G8:G34" si="2">ROUND((C8*D8*E8)*F8/1000000,3)</f>
        <v>0.34799999999999998</v>
      </c>
      <c r="H8" s="19">
        <f t="shared" si="1"/>
        <v>14.672000000000001</v>
      </c>
      <c r="I8" s="22" t="s">
        <v>38</v>
      </c>
    </row>
    <row r="9" spans="1:13" s="4" customFormat="1">
      <c r="A9" s="25"/>
      <c r="B9" s="22"/>
      <c r="C9" s="22"/>
      <c r="D9" s="22"/>
      <c r="E9" s="22"/>
      <c r="F9" s="22">
        <v>10</v>
      </c>
      <c r="G9" s="19"/>
      <c r="H9" s="19"/>
      <c r="I9" s="22" t="s">
        <v>39</v>
      </c>
    </row>
    <row r="10" spans="1:13" s="4" customFormat="1">
      <c r="A10" s="25"/>
      <c r="B10" s="22"/>
      <c r="C10" s="22">
        <v>8</v>
      </c>
      <c r="D10" s="22">
        <v>16</v>
      </c>
      <c r="E10" s="22">
        <v>608</v>
      </c>
      <c r="F10" s="22">
        <v>1</v>
      </c>
      <c r="G10" s="19">
        <f t="shared" si="2"/>
        <v>7.8E-2</v>
      </c>
      <c r="H10" s="19">
        <f t="shared" si="1"/>
        <v>2.944</v>
      </c>
      <c r="I10" s="22" t="s">
        <v>45</v>
      </c>
    </row>
    <row r="11" spans="1:13" s="4" customFormat="1">
      <c r="A11" s="25"/>
      <c r="B11" s="22"/>
      <c r="C11" s="22">
        <v>8</v>
      </c>
      <c r="D11" s="22">
        <v>16</v>
      </c>
      <c r="E11" s="22">
        <v>1192</v>
      </c>
      <c r="F11" s="22">
        <v>1</v>
      </c>
      <c r="G11" s="19">
        <f t="shared" si="2"/>
        <v>0.153</v>
      </c>
      <c r="H11" s="19">
        <f t="shared" si="1"/>
        <v>5.7472000000000003</v>
      </c>
      <c r="I11" s="22" t="s">
        <v>45</v>
      </c>
    </row>
    <row r="12" spans="1:13" s="4" customFormat="1">
      <c r="A12" s="25"/>
      <c r="B12" s="22"/>
      <c r="C12" s="22">
        <v>8</v>
      </c>
      <c r="D12" s="22">
        <v>16</v>
      </c>
      <c r="E12" s="22">
        <v>300</v>
      </c>
      <c r="F12" s="22">
        <v>2</v>
      </c>
      <c r="G12" s="19">
        <f t="shared" si="2"/>
        <v>7.6999999999999999E-2</v>
      </c>
      <c r="H12" s="19">
        <f t="shared" si="1"/>
        <v>2.9312</v>
      </c>
      <c r="I12" s="22" t="s">
        <v>45</v>
      </c>
    </row>
    <row r="13" spans="1:13" s="4" customFormat="1">
      <c r="A13" s="25"/>
      <c r="B13" s="22"/>
      <c r="C13" s="22">
        <v>8</v>
      </c>
      <c r="D13" s="22">
        <v>16</v>
      </c>
      <c r="E13" s="22">
        <v>292</v>
      </c>
      <c r="F13" s="22">
        <v>3</v>
      </c>
      <c r="G13" s="19">
        <f t="shared" si="2"/>
        <v>0.112</v>
      </c>
      <c r="H13" s="19">
        <f t="shared" si="1"/>
        <v>4.2816000000000001</v>
      </c>
      <c r="I13" s="22" t="s">
        <v>45</v>
      </c>
    </row>
    <row r="14" spans="1:13" s="4" customFormat="1" ht="36">
      <c r="A14" s="25"/>
      <c r="B14" s="22"/>
      <c r="C14" s="22">
        <v>8</v>
      </c>
      <c r="D14" s="22">
        <v>12</v>
      </c>
      <c r="E14" s="22">
        <v>592</v>
      </c>
      <c r="F14" s="22">
        <v>1</v>
      </c>
      <c r="G14" s="19">
        <f t="shared" si="2"/>
        <v>5.7000000000000002E-2</v>
      </c>
      <c r="H14" s="19">
        <f t="shared" si="1"/>
        <v>2.3872</v>
      </c>
      <c r="I14" s="22" t="s">
        <v>46</v>
      </c>
    </row>
    <row r="15" spans="1:13" s="4" customFormat="1">
      <c r="A15" s="25"/>
      <c r="B15" s="22"/>
      <c r="C15" s="22">
        <v>4</v>
      </c>
      <c r="D15" s="22">
        <v>8</v>
      </c>
      <c r="E15" s="22">
        <v>393</v>
      </c>
      <c r="F15" s="22">
        <v>14</v>
      </c>
      <c r="G15" s="19">
        <f t="shared" si="2"/>
        <v>0.17599999999999999</v>
      </c>
      <c r="H15" s="19">
        <f t="shared" si="1"/>
        <v>13.2944</v>
      </c>
      <c r="I15" s="22" t="s">
        <v>36</v>
      </c>
    </row>
    <row r="16" spans="1:13" s="4" customFormat="1">
      <c r="A16" s="25"/>
      <c r="B16" s="22"/>
      <c r="C16" s="22">
        <v>4</v>
      </c>
      <c r="D16" s="22">
        <v>8</v>
      </c>
      <c r="E16" s="22">
        <v>77</v>
      </c>
      <c r="F16" s="22">
        <v>4</v>
      </c>
      <c r="G16" s="19">
        <f t="shared" si="2"/>
        <v>0.01</v>
      </c>
      <c r="H16" s="19">
        <f t="shared" si="1"/>
        <v>0.76480000000000004</v>
      </c>
      <c r="I16" s="22" t="s">
        <v>40</v>
      </c>
    </row>
    <row r="17" spans="1:9" s="4" customFormat="1">
      <c r="A17" s="25"/>
      <c r="B17" s="22"/>
      <c r="C17" s="22">
        <v>4</v>
      </c>
      <c r="D17" s="22">
        <v>8</v>
      </c>
      <c r="E17" s="22">
        <v>292</v>
      </c>
      <c r="F17" s="22">
        <v>10</v>
      </c>
      <c r="G17" s="19">
        <f t="shared" si="2"/>
        <v>9.2999999999999999E-2</v>
      </c>
      <c r="H17" s="19">
        <f t="shared" si="1"/>
        <v>7.0720000000000001</v>
      </c>
      <c r="I17" s="22" t="s">
        <v>41</v>
      </c>
    </row>
    <row r="18" spans="1:9" s="4" customFormat="1">
      <c r="A18" s="25" t="s">
        <v>222</v>
      </c>
      <c r="B18" s="22" t="s">
        <v>44</v>
      </c>
      <c r="C18" s="22">
        <v>4</v>
      </c>
      <c r="D18" s="22">
        <v>8</v>
      </c>
      <c r="E18" s="22">
        <v>318</v>
      </c>
      <c r="F18" s="22">
        <f>65+21*2</f>
        <v>107</v>
      </c>
      <c r="G18" s="19">
        <f t="shared" si="2"/>
        <v>1.089</v>
      </c>
      <c r="H18" s="19">
        <f t="shared" si="1"/>
        <v>82.347200000000001</v>
      </c>
      <c r="I18" s="22" t="s">
        <v>37</v>
      </c>
    </row>
    <row r="19" spans="1:9" s="4" customFormat="1">
      <c r="A19" s="25"/>
      <c r="B19" s="22"/>
      <c r="C19" s="22">
        <v>4</v>
      </c>
      <c r="D19" s="22">
        <v>8</v>
      </c>
      <c r="E19" s="22">
        <v>52</v>
      </c>
      <c r="F19" s="22">
        <v>14</v>
      </c>
      <c r="G19" s="19">
        <f t="shared" si="2"/>
        <v>2.3E-2</v>
      </c>
      <c r="H19" s="19">
        <f t="shared" si="1"/>
        <v>1.8368</v>
      </c>
      <c r="I19" s="22" t="s">
        <v>37</v>
      </c>
    </row>
    <row r="20" spans="1:9" s="4" customFormat="1" ht="36">
      <c r="A20" s="25"/>
      <c r="B20" s="22"/>
      <c r="C20" s="22">
        <v>2</v>
      </c>
      <c r="D20" s="22"/>
      <c r="E20" s="22"/>
      <c r="F20" s="22"/>
      <c r="G20" s="19"/>
      <c r="H20" s="22">
        <f>38.47+9.78*3+19.45</f>
        <v>87.26</v>
      </c>
      <c r="I20" s="22" t="s">
        <v>49</v>
      </c>
    </row>
    <row r="21" spans="1:9" s="4" customFormat="1">
      <c r="A21" s="25" t="s">
        <v>223</v>
      </c>
      <c r="B21" s="22" t="s">
        <v>43</v>
      </c>
      <c r="C21" s="22">
        <v>300</v>
      </c>
      <c r="D21" s="22"/>
      <c r="E21" s="22">
        <v>322</v>
      </c>
      <c r="F21" s="22">
        <v>2</v>
      </c>
      <c r="G21" s="19"/>
      <c r="H21" s="22">
        <f>C21*E21/10000</f>
        <v>9.66</v>
      </c>
      <c r="I21" s="22" t="s">
        <v>43</v>
      </c>
    </row>
    <row r="22" spans="1:9" s="4" customFormat="1" ht="30">
      <c r="A22" s="24" t="s">
        <v>179</v>
      </c>
      <c r="B22" s="24" t="s">
        <v>175</v>
      </c>
      <c r="C22" s="22"/>
      <c r="D22" s="22"/>
      <c r="E22" s="22"/>
      <c r="F22" s="22"/>
      <c r="G22" s="19"/>
      <c r="H22" s="22"/>
      <c r="I22" s="22"/>
    </row>
    <row r="23" spans="1:9" s="11" customFormat="1" ht="24">
      <c r="A23" s="26"/>
      <c r="B23" s="27"/>
      <c r="C23" s="27">
        <v>60</v>
      </c>
      <c r="D23" s="27">
        <v>2</v>
      </c>
      <c r="E23" s="27">
        <v>397</v>
      </c>
      <c r="F23" s="27">
        <v>4</v>
      </c>
      <c r="G23" s="28"/>
      <c r="H23" s="27"/>
      <c r="I23" s="27" t="s">
        <v>176</v>
      </c>
    </row>
    <row r="24" spans="1:9" s="11" customFormat="1">
      <c r="A24" s="26"/>
      <c r="B24" s="27"/>
      <c r="C24" s="27">
        <v>60</v>
      </c>
      <c r="D24" s="27">
        <v>2</v>
      </c>
      <c r="E24" s="27">
        <v>289</v>
      </c>
      <c r="F24" s="27">
        <v>4</v>
      </c>
      <c r="G24" s="28"/>
      <c r="H24" s="27"/>
      <c r="I24" s="27"/>
    </row>
    <row r="25" spans="1:9" s="11" customFormat="1">
      <c r="A25" s="26"/>
      <c r="B25" s="27"/>
      <c r="C25" s="27">
        <v>4</v>
      </c>
      <c r="D25" s="27">
        <v>4</v>
      </c>
      <c r="E25" s="27">
        <v>228</v>
      </c>
      <c r="F25" s="27">
        <v>22</v>
      </c>
      <c r="G25" s="28"/>
      <c r="H25" s="27"/>
      <c r="I25" s="27" t="s">
        <v>120</v>
      </c>
    </row>
    <row r="26" spans="1:9" s="4" customFormat="1" ht="60">
      <c r="A26" s="24" t="s">
        <v>180</v>
      </c>
      <c r="B26" s="24" t="s">
        <v>53</v>
      </c>
      <c r="C26" s="22"/>
      <c r="D26" s="22"/>
      <c r="E26" s="22"/>
      <c r="F26" s="22"/>
      <c r="G26" s="19"/>
      <c r="H26" s="22"/>
      <c r="I26" s="22"/>
    </row>
    <row r="27" spans="1:9" s="11" customFormat="1" ht="36">
      <c r="A27" s="26" t="s">
        <v>224</v>
      </c>
      <c r="B27" s="27" t="s">
        <v>3</v>
      </c>
      <c r="C27" s="27">
        <v>8</v>
      </c>
      <c r="D27" s="27">
        <v>12</v>
      </c>
      <c r="E27" s="27">
        <v>396</v>
      </c>
      <c r="F27" s="27">
        <v>8</v>
      </c>
      <c r="G27" s="28">
        <f t="shared" si="2"/>
        <v>0.30399999999999999</v>
      </c>
      <c r="H27" s="28">
        <f t="shared" si="1"/>
        <v>12.8256</v>
      </c>
      <c r="I27" s="27" t="s">
        <v>52</v>
      </c>
    </row>
    <row r="28" spans="1:9" s="11" customFormat="1">
      <c r="A28" s="26"/>
      <c r="B28" s="27"/>
      <c r="C28" s="27">
        <v>8</v>
      </c>
      <c r="D28" s="27">
        <v>12</v>
      </c>
      <c r="E28" s="27">
        <v>362</v>
      </c>
      <c r="F28" s="27">
        <v>2</v>
      </c>
      <c r="G28" s="28">
        <f t="shared" si="2"/>
        <v>7.0000000000000007E-2</v>
      </c>
      <c r="H28" s="28">
        <f t="shared" si="1"/>
        <v>2.9344000000000001</v>
      </c>
      <c r="I28" s="27" t="s">
        <v>38</v>
      </c>
    </row>
    <row r="29" spans="1:9" s="11" customFormat="1">
      <c r="A29" s="26"/>
      <c r="B29" s="27"/>
      <c r="C29" s="27"/>
      <c r="D29" s="27"/>
      <c r="E29" s="27"/>
      <c r="F29" s="27">
        <v>10</v>
      </c>
      <c r="G29" s="28"/>
      <c r="H29" s="28"/>
      <c r="I29" s="27" t="s">
        <v>39</v>
      </c>
    </row>
    <row r="30" spans="1:9" s="11" customFormat="1">
      <c r="A30" s="26"/>
      <c r="B30" s="27"/>
      <c r="C30" s="27">
        <v>8</v>
      </c>
      <c r="D30" s="27">
        <v>16</v>
      </c>
      <c r="E30" s="27">
        <v>1200</v>
      </c>
      <c r="F30" s="27">
        <v>1</v>
      </c>
      <c r="G30" s="28">
        <f t="shared" si="2"/>
        <v>0.154</v>
      </c>
      <c r="H30" s="28">
        <f t="shared" si="1"/>
        <v>5.7855999999999996</v>
      </c>
      <c r="I30" s="27" t="s">
        <v>45</v>
      </c>
    </row>
    <row r="31" spans="1:9" s="11" customFormat="1">
      <c r="A31" s="26"/>
      <c r="B31" s="27"/>
      <c r="C31" s="27">
        <v>8</v>
      </c>
      <c r="D31" s="27">
        <v>16</v>
      </c>
      <c r="E31" s="27">
        <v>608</v>
      </c>
      <c r="F31" s="27">
        <v>2</v>
      </c>
      <c r="G31" s="28">
        <f t="shared" si="2"/>
        <v>0.156</v>
      </c>
      <c r="H31" s="28">
        <f t="shared" si="1"/>
        <v>5.8879999999999999</v>
      </c>
      <c r="I31" s="27" t="s">
        <v>45</v>
      </c>
    </row>
    <row r="32" spans="1:9" s="11" customFormat="1">
      <c r="A32" s="26"/>
      <c r="B32" s="27"/>
      <c r="C32" s="27">
        <v>8</v>
      </c>
      <c r="D32" s="27">
        <v>16</v>
      </c>
      <c r="E32" s="27">
        <v>592</v>
      </c>
      <c r="F32" s="27">
        <v>2</v>
      </c>
      <c r="G32" s="28">
        <f t="shared" si="2"/>
        <v>0.152</v>
      </c>
      <c r="H32" s="28">
        <f t="shared" si="1"/>
        <v>5.7343999999999999</v>
      </c>
      <c r="I32" s="27" t="s">
        <v>45</v>
      </c>
    </row>
    <row r="33" spans="1:9" s="11" customFormat="1">
      <c r="A33" s="26"/>
      <c r="B33" s="27"/>
      <c r="C33" s="27">
        <v>8</v>
      </c>
      <c r="D33" s="27">
        <v>16</v>
      </c>
      <c r="E33" s="27">
        <v>292</v>
      </c>
      <c r="F33" s="27">
        <v>2</v>
      </c>
      <c r="G33" s="28">
        <f t="shared" si="2"/>
        <v>7.4999999999999997E-2</v>
      </c>
      <c r="H33" s="28">
        <f t="shared" si="1"/>
        <v>2.8544</v>
      </c>
      <c r="I33" s="27" t="s">
        <v>45</v>
      </c>
    </row>
    <row r="34" spans="1:9" s="11" customFormat="1">
      <c r="A34" s="26"/>
      <c r="B34" s="27"/>
      <c r="C34" s="27">
        <v>4</v>
      </c>
      <c r="D34" s="27">
        <v>8</v>
      </c>
      <c r="E34" s="27">
        <v>77</v>
      </c>
      <c r="F34" s="27">
        <v>25</v>
      </c>
      <c r="G34" s="28">
        <f t="shared" si="2"/>
        <v>6.2E-2</v>
      </c>
      <c r="H34" s="28">
        <f t="shared" si="1"/>
        <v>4.78</v>
      </c>
      <c r="I34" s="27" t="s">
        <v>40</v>
      </c>
    </row>
    <row r="35" spans="1:9" s="13" customFormat="1" ht="15">
      <c r="A35" s="29" t="s">
        <v>208</v>
      </c>
      <c r="B35" s="30" t="s">
        <v>48</v>
      </c>
      <c r="C35" s="31"/>
      <c r="D35" s="31"/>
      <c r="E35" s="31"/>
      <c r="F35" s="31"/>
      <c r="G35" s="31"/>
      <c r="H35" s="31"/>
      <c r="I35" s="31"/>
    </row>
    <row r="36" spans="1:9" s="13" customFormat="1" ht="36">
      <c r="A36" s="32"/>
      <c r="B36" s="31"/>
      <c r="C36" s="31">
        <v>2</v>
      </c>
      <c r="D36" s="31"/>
      <c r="E36" s="31"/>
      <c r="F36" s="31"/>
      <c r="G36" s="31"/>
      <c r="H36" s="31">
        <f>0.49*4+0.84</f>
        <v>2.8</v>
      </c>
      <c r="I36" s="31" t="s">
        <v>50</v>
      </c>
    </row>
    <row r="37" spans="1:9" s="13" customFormat="1" ht="48">
      <c r="A37" s="32"/>
      <c r="B37" s="31"/>
      <c r="C37" s="31">
        <v>4</v>
      </c>
      <c r="D37" s="31"/>
      <c r="E37" s="31"/>
      <c r="F37" s="31"/>
      <c r="G37" s="31"/>
      <c r="H37" s="31">
        <f>2.15+2.6</f>
        <v>4.75</v>
      </c>
      <c r="I37" s="31" t="s">
        <v>161</v>
      </c>
    </row>
    <row r="38" spans="1:9" s="13" customFormat="1">
      <c r="A38" s="32"/>
      <c r="B38" s="31"/>
      <c r="C38" s="31">
        <v>4</v>
      </c>
      <c r="D38" s="31">
        <v>8</v>
      </c>
      <c r="E38" s="31">
        <v>116</v>
      </c>
      <c r="F38" s="31">
        <v>33</v>
      </c>
      <c r="G38" s="33">
        <f t="shared" ref="G38" si="3">ROUND((C38*D38*E38)*F38/1000000,3)</f>
        <v>0.122</v>
      </c>
      <c r="H38" s="33">
        <f t="shared" ref="H38" si="4">F38*(2*C38*E38+2*D38*E38+2*C38*D38)/10000</f>
        <v>9.3984000000000005</v>
      </c>
      <c r="I38" s="31" t="s">
        <v>37</v>
      </c>
    </row>
    <row r="39" spans="1:9" s="13" customFormat="1">
      <c r="A39" s="32"/>
      <c r="B39" s="31"/>
      <c r="C39" s="31"/>
      <c r="D39" s="31"/>
      <c r="E39" s="31"/>
      <c r="F39" s="31"/>
      <c r="G39" s="31"/>
      <c r="H39" s="31"/>
      <c r="I39" s="31"/>
    </row>
    <row r="40" spans="1:9" s="4" customFormat="1" ht="18">
      <c r="A40" s="34" t="s">
        <v>181</v>
      </c>
      <c r="B40" s="21" t="s">
        <v>6</v>
      </c>
      <c r="C40" s="22"/>
      <c r="D40" s="22"/>
      <c r="E40" s="22"/>
      <c r="F40" s="22"/>
      <c r="G40" s="22"/>
      <c r="H40" s="22"/>
      <c r="I40" s="22"/>
    </row>
    <row r="41" spans="1:9" s="4" customFormat="1" ht="45">
      <c r="A41" s="23" t="s">
        <v>182</v>
      </c>
      <c r="B41" s="24" t="s">
        <v>32</v>
      </c>
      <c r="C41" s="22">
        <v>8</v>
      </c>
      <c r="D41" s="22">
        <v>4</v>
      </c>
      <c r="E41" s="22">
        <f>19*150</f>
        <v>2850</v>
      </c>
      <c r="F41" s="22">
        <f>6*4</f>
        <v>24</v>
      </c>
      <c r="G41" s="19">
        <f t="shared" ref="G41" si="5">ROUND((C41*D41*E41)*F41/1000000,3)</f>
        <v>2.1890000000000001</v>
      </c>
      <c r="H41" s="19">
        <f t="shared" ref="H41" si="6">F41*(2*C41*E41+2*D41*E41+2*C41*D41)/10000</f>
        <v>164.31360000000001</v>
      </c>
      <c r="I41" s="22" t="s">
        <v>54</v>
      </c>
    </row>
    <row r="42" spans="1:9" s="4" customFormat="1">
      <c r="A42" s="25"/>
      <c r="B42" s="22" t="s">
        <v>60</v>
      </c>
      <c r="C42" s="22">
        <v>5</v>
      </c>
      <c r="D42" s="22">
        <v>20</v>
      </c>
      <c r="E42" s="22">
        <v>292</v>
      </c>
      <c r="F42" s="22">
        <v>4</v>
      </c>
      <c r="G42" s="19">
        <f t="shared" ref="G42" si="7">ROUND((C42*D42*E42)*F42/1000000,3)</f>
        <v>0.11700000000000001</v>
      </c>
      <c r="H42" s="19">
        <f t="shared" ref="H42" si="8">F42*(2*C42*E42+2*D42*E42+2*C42*D42)/10000</f>
        <v>5.92</v>
      </c>
      <c r="I42" s="22" t="s">
        <v>47</v>
      </c>
    </row>
    <row r="43" spans="1:9" s="4" customFormat="1" ht="45">
      <c r="A43" s="23" t="s">
        <v>183</v>
      </c>
      <c r="B43" s="24" t="s">
        <v>147</v>
      </c>
      <c r="C43" s="22"/>
      <c r="D43" s="22"/>
      <c r="E43" s="22"/>
      <c r="F43" s="22"/>
      <c r="G43" s="22"/>
      <c r="H43" s="22"/>
      <c r="I43" s="22"/>
    </row>
    <row r="44" spans="1:9" s="15" customFormat="1" ht="36">
      <c r="A44" s="35" t="s">
        <v>225</v>
      </c>
      <c r="B44" s="36" t="s">
        <v>3</v>
      </c>
      <c r="C44" s="36">
        <v>8</v>
      </c>
      <c r="D44" s="36">
        <v>12</v>
      </c>
      <c r="E44" s="36">
        <v>396</v>
      </c>
      <c r="F44" s="36">
        <v>6</v>
      </c>
      <c r="G44" s="37">
        <f t="shared" ref="G44:G45" si="9">ROUND((C44*D44*E44)*F44/1000000,3)</f>
        <v>0.22800000000000001</v>
      </c>
      <c r="H44" s="37">
        <f t="shared" ref="H44:H45" si="10">F44*(2*C44*E44+2*D44*E44+2*C44*D44)/10000</f>
        <v>9.6191999999999993</v>
      </c>
      <c r="I44" s="36" t="s">
        <v>52</v>
      </c>
    </row>
    <row r="45" spans="1:9" s="15" customFormat="1">
      <c r="A45" s="35"/>
      <c r="B45" s="36"/>
      <c r="C45" s="36">
        <v>8</v>
      </c>
      <c r="D45" s="36">
        <v>12</v>
      </c>
      <c r="E45" s="36">
        <v>362</v>
      </c>
      <c r="F45" s="36">
        <v>3</v>
      </c>
      <c r="G45" s="37">
        <f t="shared" si="9"/>
        <v>0.104</v>
      </c>
      <c r="H45" s="37">
        <f t="shared" si="10"/>
        <v>4.4016000000000002</v>
      </c>
      <c r="I45" s="36" t="s">
        <v>38</v>
      </c>
    </row>
    <row r="46" spans="1:9" s="15" customFormat="1">
      <c r="A46" s="35"/>
      <c r="B46" s="36"/>
      <c r="C46" s="36"/>
      <c r="D46" s="36"/>
      <c r="E46" s="36"/>
      <c r="F46" s="36">
        <v>10</v>
      </c>
      <c r="G46" s="37"/>
      <c r="H46" s="37"/>
      <c r="I46" s="36" t="s">
        <v>39</v>
      </c>
    </row>
    <row r="47" spans="1:9" s="15" customFormat="1">
      <c r="A47" s="35"/>
      <c r="B47" s="36"/>
      <c r="C47" s="36">
        <v>8</v>
      </c>
      <c r="D47" s="36">
        <v>16</v>
      </c>
      <c r="E47" s="36">
        <v>592</v>
      </c>
      <c r="F47" s="36">
        <v>3</v>
      </c>
      <c r="G47" s="37">
        <f t="shared" ref="G47" si="11">ROUND((C47*D47*E47)*F47/1000000,3)</f>
        <v>0.22700000000000001</v>
      </c>
      <c r="H47" s="37">
        <f t="shared" ref="H47" si="12">F47*(2*C47*E47+2*D47*E47+2*C47*D47)/10000</f>
        <v>8.6015999999999995</v>
      </c>
      <c r="I47" s="36" t="s">
        <v>45</v>
      </c>
    </row>
    <row r="48" spans="1:9" s="15" customFormat="1">
      <c r="A48" s="35"/>
      <c r="B48" s="36"/>
      <c r="C48" s="36">
        <v>8</v>
      </c>
      <c r="D48" s="36">
        <v>16</v>
      </c>
      <c r="E48" s="36">
        <v>608</v>
      </c>
      <c r="F48" s="36">
        <v>1</v>
      </c>
      <c r="G48" s="37">
        <f t="shared" ref="G48" si="13">ROUND((C48*D48*E48)*F48/1000000,3)</f>
        <v>7.8E-2</v>
      </c>
      <c r="H48" s="37">
        <f t="shared" ref="H48" si="14">F48*(2*C48*E48+2*D48*E48+2*C48*D48)/10000</f>
        <v>2.944</v>
      </c>
      <c r="I48" s="36" t="s">
        <v>45</v>
      </c>
    </row>
    <row r="49" spans="1:9" s="15" customFormat="1">
      <c r="A49" s="35"/>
      <c r="B49" s="36"/>
      <c r="C49" s="36">
        <v>8</v>
      </c>
      <c r="D49" s="36">
        <v>16</v>
      </c>
      <c r="E49" s="36">
        <v>292</v>
      </c>
      <c r="F49" s="36">
        <v>2</v>
      </c>
      <c r="G49" s="37">
        <f t="shared" ref="G49:G50" si="15">ROUND((C49*D49*E49)*F49/1000000,3)</f>
        <v>7.4999999999999997E-2</v>
      </c>
      <c r="H49" s="37">
        <f t="shared" ref="H49:H50" si="16">F49*(2*C49*E49+2*D49*E49+2*C49*D49)/10000</f>
        <v>2.8544</v>
      </c>
      <c r="I49" s="36" t="s">
        <v>45</v>
      </c>
    </row>
    <row r="50" spans="1:9" s="15" customFormat="1" ht="36">
      <c r="A50" s="35"/>
      <c r="B50" s="36"/>
      <c r="C50" s="36">
        <v>8</v>
      </c>
      <c r="D50" s="36">
        <v>8</v>
      </c>
      <c r="E50" s="36">
        <v>592</v>
      </c>
      <c r="F50" s="36">
        <v>1</v>
      </c>
      <c r="G50" s="37">
        <f t="shared" si="15"/>
        <v>3.7999999999999999E-2</v>
      </c>
      <c r="H50" s="37">
        <f t="shared" si="16"/>
        <v>1.9072</v>
      </c>
      <c r="I50" s="36" t="s">
        <v>55</v>
      </c>
    </row>
    <row r="51" spans="1:9" s="15" customFormat="1">
      <c r="A51" s="35"/>
      <c r="B51" s="36"/>
      <c r="C51" s="36">
        <v>4</v>
      </c>
      <c r="D51" s="36">
        <v>8</v>
      </c>
      <c r="E51" s="36">
        <v>393</v>
      </c>
      <c r="F51" s="36">
        <v>6</v>
      </c>
      <c r="G51" s="37">
        <f t="shared" ref="G51" si="17">ROUND((C51*D51*E51)*F51/1000000,3)</f>
        <v>7.4999999999999997E-2</v>
      </c>
      <c r="H51" s="37">
        <f t="shared" ref="H51" si="18">F51*(2*C51*E51+2*D51*E51+2*C51*D51)/10000</f>
        <v>5.6976000000000004</v>
      </c>
      <c r="I51" s="36" t="s">
        <v>4</v>
      </c>
    </row>
    <row r="52" spans="1:9" s="15" customFormat="1">
      <c r="A52" s="35"/>
      <c r="B52" s="36"/>
      <c r="C52" s="36">
        <v>4</v>
      </c>
      <c r="D52" s="36">
        <v>8</v>
      </c>
      <c r="E52" s="36">
        <v>292</v>
      </c>
      <c r="F52" s="36">
        <v>3</v>
      </c>
      <c r="G52" s="37">
        <f t="shared" ref="G52" si="19">ROUND((C52*D52*E52)*F52/1000000,3)</f>
        <v>2.8000000000000001E-2</v>
      </c>
      <c r="H52" s="37">
        <f t="shared" ref="H52" si="20">F52*(2*C52*E52+2*D52*E52+2*C52*D52)/10000</f>
        <v>2.1215999999999999</v>
      </c>
      <c r="I52" s="36" t="s">
        <v>4</v>
      </c>
    </row>
    <row r="53" spans="1:9" s="15" customFormat="1">
      <c r="A53" s="35"/>
      <c r="B53" s="36"/>
      <c r="C53" s="36">
        <v>4</v>
      </c>
      <c r="D53" s="36">
        <v>8</v>
      </c>
      <c r="E53" s="36">
        <v>292</v>
      </c>
      <c r="F53" s="36">
        <v>15</v>
      </c>
      <c r="G53" s="37">
        <f t="shared" ref="G53" si="21">ROUND((C53*D53*E53)*F53/1000000,3)</f>
        <v>0.14000000000000001</v>
      </c>
      <c r="H53" s="37">
        <f t="shared" ref="H53" si="22">F53*(2*C53*E53+2*D53*E53+2*C53*D53)/10000</f>
        <v>10.608000000000001</v>
      </c>
      <c r="I53" s="36" t="s">
        <v>41</v>
      </c>
    </row>
    <row r="54" spans="1:9" s="11" customFormat="1">
      <c r="A54" s="26" t="s">
        <v>226</v>
      </c>
      <c r="B54" s="27" t="s">
        <v>43</v>
      </c>
      <c r="C54" s="27">
        <v>292</v>
      </c>
      <c r="D54" s="27"/>
      <c r="E54" s="27">
        <v>622</v>
      </c>
      <c r="F54" s="27">
        <v>1</v>
      </c>
      <c r="G54" s="28"/>
      <c r="H54" s="27">
        <f>C54*E54/10000</f>
        <v>18.162400000000002</v>
      </c>
      <c r="I54" s="27" t="s">
        <v>43</v>
      </c>
    </row>
    <row r="55" spans="1:9" s="11" customFormat="1">
      <c r="A55" s="26"/>
      <c r="B55" s="27"/>
      <c r="C55" s="27">
        <v>292</v>
      </c>
      <c r="D55" s="27"/>
      <c r="E55" s="27">
        <v>322</v>
      </c>
      <c r="F55" s="27">
        <v>1</v>
      </c>
      <c r="G55" s="28"/>
      <c r="H55" s="27">
        <f>C55*E55/10000</f>
        <v>9.4024000000000001</v>
      </c>
      <c r="I55" s="27" t="s">
        <v>43</v>
      </c>
    </row>
    <row r="56" spans="1:9" s="15" customFormat="1">
      <c r="A56" s="35" t="s">
        <v>227</v>
      </c>
      <c r="B56" s="36" t="s">
        <v>51</v>
      </c>
      <c r="C56" s="36">
        <v>4</v>
      </c>
      <c r="D56" s="36">
        <v>8</v>
      </c>
      <c r="E56" s="36">
        <v>308</v>
      </c>
      <c r="F56" s="36">
        <v>60</v>
      </c>
      <c r="G56" s="37">
        <f t="shared" ref="G56" si="23">ROUND((C56*D56*E56)*F56/1000000,3)</f>
        <v>0.59099999999999997</v>
      </c>
      <c r="H56" s="37">
        <f t="shared" ref="H56" si="24">F56*(2*C56*E56+2*D56*E56+2*C56*D56)/10000</f>
        <v>44.735999999999997</v>
      </c>
      <c r="I56" s="36" t="s">
        <v>56</v>
      </c>
    </row>
    <row r="57" spans="1:9" s="15" customFormat="1">
      <c r="A57" s="35"/>
      <c r="B57" s="36"/>
      <c r="C57" s="36">
        <v>4</v>
      </c>
      <c r="D57" s="36">
        <v>8</v>
      </c>
      <c r="E57" s="36">
        <v>335</v>
      </c>
      <c r="F57" s="36">
        <v>21</v>
      </c>
      <c r="G57" s="37">
        <f t="shared" ref="G57" si="25">ROUND((C57*D57*E57)*F57/1000000,3)</f>
        <v>0.22500000000000001</v>
      </c>
      <c r="H57" s="37">
        <f t="shared" ref="H57" si="26">F57*(2*C57*E57+2*D57*E57+2*C57*D57)/10000</f>
        <v>17.0184</v>
      </c>
      <c r="I57" s="36" t="s">
        <v>57</v>
      </c>
    </row>
    <row r="58" spans="1:9" s="15" customFormat="1">
      <c r="A58" s="35"/>
      <c r="B58" s="36"/>
      <c r="C58" s="36">
        <v>4</v>
      </c>
      <c r="D58" s="36">
        <v>8</v>
      </c>
      <c r="E58" s="36">
        <v>141</v>
      </c>
      <c r="F58" s="36">
        <v>19</v>
      </c>
      <c r="G58" s="37">
        <f t="shared" ref="G58" si="27">ROUND((C58*D58*E58)*F58/1000000,3)</f>
        <v>8.5999999999999993E-2</v>
      </c>
      <c r="H58" s="37">
        <f t="shared" ref="H58" si="28">F58*(2*C58*E58+2*D58*E58+2*C58*D58)/10000</f>
        <v>6.5511999999999997</v>
      </c>
      <c r="I58" s="36" t="s">
        <v>57</v>
      </c>
    </row>
    <row r="59" spans="1:9" s="15" customFormat="1">
      <c r="A59" s="35"/>
      <c r="B59" s="36"/>
      <c r="C59" s="36">
        <v>4</v>
      </c>
      <c r="D59" s="36">
        <v>8</v>
      </c>
      <c r="E59" s="36">
        <v>292</v>
      </c>
      <c r="F59" s="36">
        <v>1</v>
      </c>
      <c r="G59" s="37">
        <f t="shared" ref="G59" si="29">ROUND((C59*D59*E59)*F59/1000000,3)</f>
        <v>8.9999999999999993E-3</v>
      </c>
      <c r="H59" s="37">
        <f t="shared" ref="H59" si="30">F59*(2*C59*E59+2*D59*E59+2*C59*D59)/10000</f>
        <v>0.70720000000000005</v>
      </c>
      <c r="I59" s="36" t="s">
        <v>57</v>
      </c>
    </row>
    <row r="60" spans="1:9" s="4" customFormat="1" ht="15">
      <c r="A60" s="24" t="s">
        <v>332</v>
      </c>
      <c r="B60" s="24" t="s">
        <v>69</v>
      </c>
      <c r="C60" s="22"/>
      <c r="D60" s="22"/>
      <c r="E60" s="22"/>
      <c r="F60" s="22"/>
      <c r="G60" s="19"/>
      <c r="H60" s="19"/>
      <c r="I60" s="22"/>
    </row>
    <row r="61" spans="1:9" s="4" customFormat="1" ht="24">
      <c r="A61" s="25"/>
      <c r="B61" s="22"/>
      <c r="C61" s="22">
        <v>4</v>
      </c>
      <c r="D61" s="22">
        <v>8</v>
      </c>
      <c r="E61" s="22">
        <v>100</v>
      </c>
      <c r="F61" s="22">
        <f>30*4</f>
        <v>120</v>
      </c>
      <c r="G61" s="19">
        <f t="shared" ref="G61" si="31">ROUND((C61*D61*E61)*F61/1000000,3)</f>
        <v>0.38400000000000001</v>
      </c>
      <c r="H61" s="19">
        <f t="shared" ref="H61" si="32">F61*(2*C61*E61+2*D61*E61+2*C61*D61)/10000</f>
        <v>29.568000000000001</v>
      </c>
      <c r="I61" s="22" t="s">
        <v>58</v>
      </c>
    </row>
    <row r="62" spans="1:9" s="4" customFormat="1">
      <c r="A62" s="25"/>
      <c r="B62" s="22"/>
      <c r="C62" s="22">
        <v>4</v>
      </c>
      <c r="D62" s="22">
        <v>8</v>
      </c>
      <c r="E62" s="22">
        <v>298</v>
      </c>
      <c r="F62" s="22">
        <f>4*3</f>
        <v>12</v>
      </c>
      <c r="G62" s="19">
        <f t="shared" ref="G62" si="33">ROUND((C62*D62*E62)*F62/1000000,3)</f>
        <v>0.114</v>
      </c>
      <c r="H62" s="19">
        <f t="shared" ref="H62" si="34">F62*(2*C62*E62+2*D62*E62+2*C62*D62)/10000</f>
        <v>8.6592000000000002</v>
      </c>
      <c r="I62" s="22" t="s">
        <v>59</v>
      </c>
    </row>
    <row r="63" spans="1:9" s="4" customFormat="1" ht="18">
      <c r="A63" s="34" t="s">
        <v>184</v>
      </c>
      <c r="B63" s="21" t="s">
        <v>7</v>
      </c>
      <c r="C63" s="22"/>
      <c r="D63" s="22"/>
      <c r="E63" s="22"/>
      <c r="F63" s="22"/>
      <c r="G63" s="19"/>
      <c r="H63" s="19"/>
      <c r="I63" s="22"/>
    </row>
    <row r="64" spans="1:9" s="4" customFormat="1" ht="45">
      <c r="A64" s="23" t="s">
        <v>185</v>
      </c>
      <c r="B64" s="24" t="s">
        <v>32</v>
      </c>
      <c r="C64" s="22">
        <v>8</v>
      </c>
      <c r="D64" s="22">
        <v>4</v>
      </c>
      <c r="E64" s="22">
        <f>19*150</f>
        <v>2850</v>
      </c>
      <c r="F64" s="22">
        <v>25</v>
      </c>
      <c r="G64" s="19">
        <f t="shared" ref="G64" si="35">ROUND((C64*D64*E64)*F64/1000000,3)</f>
        <v>2.2799999999999998</v>
      </c>
      <c r="H64" s="19">
        <f t="shared" ref="H64" si="36">F64*(2*C64*E64+2*D64*E64+2*C64*D64)/10000</f>
        <v>171.16</v>
      </c>
      <c r="I64" s="22" t="s">
        <v>54</v>
      </c>
    </row>
    <row r="65" spans="1:9" s="13" customFormat="1" ht="15">
      <c r="A65" s="29" t="s">
        <v>212</v>
      </c>
      <c r="B65" s="30" t="s">
        <v>67</v>
      </c>
      <c r="C65" s="31"/>
      <c r="D65" s="31"/>
      <c r="E65" s="31"/>
      <c r="F65" s="31"/>
      <c r="G65" s="33"/>
      <c r="H65" s="33"/>
      <c r="I65" s="31"/>
    </row>
    <row r="66" spans="1:9" s="13" customFormat="1">
      <c r="A66" s="32" t="s">
        <v>228</v>
      </c>
      <c r="B66" s="31" t="s">
        <v>3</v>
      </c>
      <c r="C66" s="31">
        <v>15</v>
      </c>
      <c r="D66" s="31">
        <v>15</v>
      </c>
      <c r="E66" s="31">
        <v>355</v>
      </c>
      <c r="F66" s="31">
        <v>4</v>
      </c>
      <c r="G66" s="33">
        <f t="shared" ref="G66:G71" si="37">ROUND((C66*D66*E66)*F66/1000000,3)</f>
        <v>0.32</v>
      </c>
      <c r="H66" s="33">
        <f t="shared" ref="H66:H71" si="38">F66*(2*C66*E66+2*D66*E66+2*C66*D66)/10000</f>
        <v>8.6999999999999993</v>
      </c>
      <c r="I66" s="31" t="s">
        <v>18</v>
      </c>
    </row>
    <row r="67" spans="1:9" s="13" customFormat="1">
      <c r="A67" s="32"/>
      <c r="B67" s="31"/>
      <c r="C67" s="31"/>
      <c r="D67" s="31"/>
      <c r="E67" s="31"/>
      <c r="F67" s="31">
        <v>4</v>
      </c>
      <c r="G67" s="33"/>
      <c r="H67" s="33"/>
      <c r="I67" s="31" t="s">
        <v>63</v>
      </c>
    </row>
    <row r="68" spans="1:9" s="13" customFormat="1">
      <c r="A68" s="32"/>
      <c r="B68" s="31"/>
      <c r="C68" s="31">
        <v>15</v>
      </c>
      <c r="D68" s="31">
        <v>15</v>
      </c>
      <c r="E68" s="31">
        <v>315</v>
      </c>
      <c r="F68" s="31">
        <v>2</v>
      </c>
      <c r="G68" s="33">
        <f t="shared" si="37"/>
        <v>0.14199999999999999</v>
      </c>
      <c r="H68" s="33">
        <f t="shared" si="38"/>
        <v>3.87</v>
      </c>
      <c r="I68" s="31" t="s">
        <v>65</v>
      </c>
    </row>
    <row r="69" spans="1:9" s="13" customFormat="1">
      <c r="A69" s="32"/>
      <c r="B69" s="31"/>
      <c r="C69" s="31">
        <v>20</v>
      </c>
      <c r="D69" s="31">
        <v>20</v>
      </c>
      <c r="E69" s="31">
        <v>600</v>
      </c>
      <c r="F69" s="31">
        <v>3</v>
      </c>
      <c r="G69" s="33">
        <f t="shared" si="37"/>
        <v>0.72</v>
      </c>
      <c r="H69" s="33">
        <f t="shared" si="38"/>
        <v>14.64</v>
      </c>
      <c r="I69" s="31" t="s">
        <v>20</v>
      </c>
    </row>
    <row r="70" spans="1:9" s="13" customFormat="1">
      <c r="A70" s="32"/>
      <c r="B70" s="31"/>
      <c r="C70" s="31">
        <v>10</v>
      </c>
      <c r="D70" s="31">
        <v>10</v>
      </c>
      <c r="E70" s="31">
        <v>387</v>
      </c>
      <c r="F70" s="31">
        <v>4</v>
      </c>
      <c r="G70" s="33">
        <f t="shared" si="37"/>
        <v>0.155</v>
      </c>
      <c r="H70" s="33">
        <f t="shared" si="38"/>
        <v>6.2720000000000002</v>
      </c>
      <c r="I70" s="31" t="s">
        <v>22</v>
      </c>
    </row>
    <row r="71" spans="1:9" s="13" customFormat="1">
      <c r="A71" s="32"/>
      <c r="B71" s="31"/>
      <c r="C71" s="31">
        <v>10</v>
      </c>
      <c r="D71" s="31">
        <v>10</v>
      </c>
      <c r="E71" s="31">
        <v>305</v>
      </c>
      <c r="F71" s="31">
        <v>4</v>
      </c>
      <c r="G71" s="33">
        <f t="shared" si="37"/>
        <v>0.122</v>
      </c>
      <c r="H71" s="33">
        <f t="shared" si="38"/>
        <v>4.96</v>
      </c>
      <c r="I71" s="31" t="s">
        <v>64</v>
      </c>
    </row>
    <row r="72" spans="1:9" s="4" customFormat="1">
      <c r="A72" s="25" t="s">
        <v>258</v>
      </c>
      <c r="B72" s="22" t="s">
        <v>68</v>
      </c>
      <c r="C72" s="22"/>
      <c r="D72" s="22"/>
      <c r="E72" s="22"/>
      <c r="F72" s="22">
        <v>5</v>
      </c>
      <c r="G72" s="19"/>
      <c r="H72" s="19"/>
      <c r="I72" s="22" t="s">
        <v>62</v>
      </c>
    </row>
    <row r="73" spans="1:9" s="4" customFormat="1">
      <c r="A73" s="25"/>
      <c r="B73" s="22"/>
      <c r="C73" s="22"/>
      <c r="D73" s="22"/>
      <c r="E73" s="22"/>
      <c r="F73" s="22">
        <v>5</v>
      </c>
      <c r="G73" s="19"/>
      <c r="H73" s="19"/>
      <c r="I73" s="22" t="s">
        <v>66</v>
      </c>
    </row>
    <row r="74" spans="1:9" s="4" customFormat="1" ht="30">
      <c r="A74" s="24" t="s">
        <v>213</v>
      </c>
      <c r="B74" s="24" t="s">
        <v>82</v>
      </c>
      <c r="C74" s="22"/>
      <c r="D74" s="22"/>
      <c r="E74" s="22"/>
      <c r="F74" s="22"/>
      <c r="G74" s="19"/>
      <c r="H74" s="19"/>
      <c r="I74" s="22"/>
    </row>
    <row r="75" spans="1:9" s="11" customFormat="1">
      <c r="A75" s="26" t="s">
        <v>229</v>
      </c>
      <c r="B75" s="27" t="s">
        <v>3</v>
      </c>
      <c r="C75" s="27">
        <v>8</v>
      </c>
      <c r="D75" s="27">
        <v>16</v>
      </c>
      <c r="E75" s="27">
        <v>380</v>
      </c>
      <c r="F75" s="27">
        <v>2</v>
      </c>
      <c r="G75" s="28">
        <f t="shared" ref="G75" si="39">ROUND((C75*D75*E75)*F75/1000000,3)</f>
        <v>9.7000000000000003E-2</v>
      </c>
      <c r="H75" s="28">
        <f t="shared" ref="H75" si="40">F75*(2*C75*E75+2*D75*E75+2*C75*D75)/10000</f>
        <v>3.6991999999999998</v>
      </c>
      <c r="I75" s="27" t="s">
        <v>72</v>
      </c>
    </row>
    <row r="76" spans="1:9" s="11" customFormat="1" ht="15">
      <c r="A76" s="26"/>
      <c r="B76" s="38"/>
      <c r="C76" s="27"/>
      <c r="D76" s="27"/>
      <c r="E76" s="27"/>
      <c r="F76" s="27">
        <f>F75</f>
        <v>2</v>
      </c>
      <c r="G76" s="28"/>
      <c r="H76" s="28"/>
      <c r="I76" s="27" t="s">
        <v>63</v>
      </c>
    </row>
    <row r="77" spans="1:9" s="11" customFormat="1" ht="15">
      <c r="A77" s="26"/>
      <c r="B77" s="38"/>
      <c r="C77" s="27">
        <v>8</v>
      </c>
      <c r="D77" s="27">
        <v>30</v>
      </c>
      <c r="E77" s="27">
        <v>600</v>
      </c>
      <c r="F77" s="27">
        <v>1</v>
      </c>
      <c r="G77" s="28">
        <f t="shared" ref="G77" si="41">ROUND((C77*D77*E77)*F77/1000000,3)</f>
        <v>0.14399999999999999</v>
      </c>
      <c r="H77" s="28">
        <f t="shared" ref="H77" si="42">F77*(2*C77*E77+2*D77*E77+2*C77*D77)/10000</f>
        <v>4.6079999999999997</v>
      </c>
      <c r="I77" s="27" t="s">
        <v>20</v>
      </c>
    </row>
    <row r="78" spans="1:9" s="11" customFormat="1">
      <c r="A78" s="26"/>
      <c r="B78" s="27"/>
      <c r="C78" s="27">
        <v>8</v>
      </c>
      <c r="D78" s="27">
        <v>30</v>
      </c>
      <c r="E78" s="27">
        <v>308</v>
      </c>
      <c r="F78" s="27">
        <v>2</v>
      </c>
      <c r="G78" s="28">
        <f t="shared" ref="G78" si="43">ROUND((C78*D78*E78)*F78/1000000,3)</f>
        <v>0.14799999999999999</v>
      </c>
      <c r="H78" s="28">
        <f t="shared" ref="H78" si="44">F78*(2*C78*E78+2*D78*E78+2*C78*D78)/10000</f>
        <v>4.7775999999999996</v>
      </c>
      <c r="I78" s="27" t="s">
        <v>20</v>
      </c>
    </row>
    <row r="79" spans="1:9" s="11" customFormat="1" ht="24">
      <c r="A79" s="26"/>
      <c r="B79" s="27"/>
      <c r="C79" s="27">
        <v>8</v>
      </c>
      <c r="D79" s="27">
        <v>16</v>
      </c>
      <c r="E79" s="27">
        <v>608</v>
      </c>
      <c r="F79" s="27">
        <v>2</v>
      </c>
      <c r="G79" s="28">
        <f t="shared" ref="G79" si="45">ROUND((C79*D79*E79)*F79/1000000,3)</f>
        <v>0.156</v>
      </c>
      <c r="H79" s="28">
        <f t="shared" ref="H79" si="46">F79*(2*C79*E79+2*D79*E79+2*C79*D79)/10000</f>
        <v>5.8879999999999999</v>
      </c>
      <c r="I79" s="27" t="s">
        <v>96</v>
      </c>
    </row>
    <row r="80" spans="1:9" s="11" customFormat="1">
      <c r="A80" s="26"/>
      <c r="B80" s="27"/>
      <c r="C80" s="27"/>
      <c r="D80" s="27"/>
      <c r="E80" s="27">
        <v>608</v>
      </c>
      <c r="F80" s="27">
        <v>2</v>
      </c>
      <c r="G80" s="28"/>
      <c r="H80" s="28"/>
      <c r="I80" s="27" t="s">
        <v>74</v>
      </c>
    </row>
    <row r="81" spans="1:9" s="11" customFormat="1">
      <c r="A81" s="26" t="s">
        <v>230</v>
      </c>
      <c r="B81" s="27" t="s">
        <v>79</v>
      </c>
      <c r="C81" s="27">
        <v>4</v>
      </c>
      <c r="D81" s="27">
        <v>4</v>
      </c>
      <c r="E81" s="27">
        <v>288</v>
      </c>
      <c r="F81" s="27">
        <v>16</v>
      </c>
      <c r="G81" s="28"/>
      <c r="H81" s="28">
        <f>F81*(2*C81*E81+2*D81*E81+2*C81*D81)/10000</f>
        <v>7.4240000000000004</v>
      </c>
      <c r="I81" s="27" t="s">
        <v>75</v>
      </c>
    </row>
    <row r="82" spans="1:9" s="11" customFormat="1">
      <c r="A82" s="26"/>
      <c r="B82" s="27"/>
      <c r="C82" s="27"/>
      <c r="D82" s="27"/>
      <c r="E82" s="27"/>
      <c r="F82" s="27">
        <f>F81*2</f>
        <v>32</v>
      </c>
      <c r="G82" s="28"/>
      <c r="H82" s="28"/>
      <c r="I82" s="27" t="s">
        <v>76</v>
      </c>
    </row>
    <row r="83" spans="1:9" s="11" customFormat="1" ht="24">
      <c r="A83" s="26"/>
      <c r="B83" s="27"/>
      <c r="C83" s="27"/>
      <c r="D83" s="27"/>
      <c r="E83" s="27"/>
      <c r="F83" s="27"/>
      <c r="G83" s="28"/>
      <c r="H83" s="28">
        <f>1.06*F81</f>
        <v>16.96</v>
      </c>
      <c r="I83" s="27" t="s">
        <v>77</v>
      </c>
    </row>
    <row r="84" spans="1:9" s="11" customFormat="1">
      <c r="A84" s="26" t="s">
        <v>231</v>
      </c>
      <c r="B84" s="27" t="s">
        <v>78</v>
      </c>
      <c r="C84" s="27">
        <v>4</v>
      </c>
      <c r="D84" s="27">
        <v>4</v>
      </c>
      <c r="E84" s="27">
        <v>608</v>
      </c>
      <c r="F84" s="27">
        <v>2</v>
      </c>
      <c r="G84" s="28"/>
      <c r="H84" s="28"/>
      <c r="I84" s="27" t="s">
        <v>80</v>
      </c>
    </row>
    <row r="85" spans="1:9" s="11" customFormat="1">
      <c r="A85" s="26"/>
      <c r="B85" s="27"/>
      <c r="C85" s="27"/>
      <c r="D85" s="27"/>
      <c r="E85" s="27"/>
      <c r="F85" s="27"/>
      <c r="G85" s="28"/>
      <c r="H85" s="28">
        <v>1.22</v>
      </c>
      <c r="I85" s="27" t="s">
        <v>81</v>
      </c>
    </row>
    <row r="86" spans="1:9" s="11" customFormat="1" ht="15">
      <c r="A86" s="39" t="s">
        <v>214</v>
      </c>
      <c r="B86" s="38" t="s">
        <v>69</v>
      </c>
      <c r="C86" s="27"/>
      <c r="D86" s="27"/>
      <c r="E86" s="27"/>
      <c r="F86" s="27"/>
      <c r="G86" s="28"/>
      <c r="H86" s="28"/>
      <c r="I86" s="27"/>
    </row>
    <row r="87" spans="1:9" s="11" customFormat="1" ht="24">
      <c r="A87" s="26"/>
      <c r="B87" s="27"/>
      <c r="C87" s="27">
        <v>4</v>
      </c>
      <c r="D87" s="27">
        <v>8</v>
      </c>
      <c r="E87" s="27">
        <v>100</v>
      </c>
      <c r="F87" s="27">
        <v>30</v>
      </c>
      <c r="G87" s="28">
        <f t="shared" ref="G87" si="47">ROUND((C87*D87*E87)*F87/1000000,3)</f>
        <v>9.6000000000000002E-2</v>
      </c>
      <c r="H87" s="28">
        <f t="shared" ref="H87" si="48">F87*(2*C87*E87+2*D87*E87+2*C87*D87)/10000</f>
        <v>7.3920000000000003</v>
      </c>
      <c r="I87" s="27" t="s">
        <v>58</v>
      </c>
    </row>
    <row r="88" spans="1:9" s="11" customFormat="1">
      <c r="A88" s="26"/>
      <c r="B88" s="27"/>
      <c r="C88" s="27">
        <v>4</v>
      </c>
      <c r="D88" s="27">
        <v>8</v>
      </c>
      <c r="E88" s="27">
        <v>145</v>
      </c>
      <c r="F88" s="27">
        <v>60</v>
      </c>
      <c r="G88" s="28">
        <f t="shared" ref="G88" si="49">ROUND((C88*D88*E88)*F88/1000000,3)</f>
        <v>0.27800000000000002</v>
      </c>
      <c r="H88" s="28">
        <f t="shared" ref="H88" si="50">F88*(2*C88*E88+2*D88*E88+2*C88*D88)/10000</f>
        <v>21.263999999999999</v>
      </c>
      <c r="I88" s="27" t="s">
        <v>61</v>
      </c>
    </row>
    <row r="89" spans="1:9" s="11" customFormat="1">
      <c r="A89" s="26"/>
      <c r="B89" s="27"/>
      <c r="C89" s="27">
        <v>4</v>
      </c>
      <c r="D89" s="27">
        <v>8</v>
      </c>
      <c r="E89" s="27">
        <v>598</v>
      </c>
      <c r="F89" s="27">
        <v>6</v>
      </c>
      <c r="G89" s="28">
        <f>ROUND((C89*D89*E89)*F89/1000000,3)</f>
        <v>0.115</v>
      </c>
      <c r="H89" s="28">
        <f>F89*(2*C89*E89+2*D89*E89+2*C89*D89)/10000</f>
        <v>8.6495999999999995</v>
      </c>
      <c r="I89" s="27" t="s">
        <v>59</v>
      </c>
    </row>
    <row r="90" spans="1:9" s="11" customFormat="1">
      <c r="A90" s="26"/>
      <c r="B90" s="27"/>
      <c r="C90" s="27">
        <v>4</v>
      </c>
      <c r="D90" s="27">
        <v>8</v>
      </c>
      <c r="E90" s="27">
        <v>298</v>
      </c>
      <c r="F90" s="27">
        <v>3</v>
      </c>
      <c r="G90" s="28">
        <f>ROUND((C90*D90*E90)*F90/1000000,3)</f>
        <v>2.9000000000000001E-2</v>
      </c>
      <c r="H90" s="28">
        <f>F90*(2*C90*E90+2*D90*E90+2*C90*D90)/10000</f>
        <v>2.1648000000000001</v>
      </c>
      <c r="I90" s="27" t="s">
        <v>59</v>
      </c>
    </row>
    <row r="91" spans="1:9" s="4" customFormat="1" ht="36">
      <c r="A91" s="34" t="s">
        <v>186</v>
      </c>
      <c r="B91" s="21" t="s">
        <v>73</v>
      </c>
      <c r="C91" s="22"/>
      <c r="D91" s="22"/>
      <c r="E91" s="22"/>
      <c r="F91" s="22"/>
      <c r="G91" s="19"/>
      <c r="H91" s="19"/>
      <c r="I91" s="22"/>
    </row>
    <row r="92" spans="1:9" s="4" customFormat="1" ht="45">
      <c r="A92" s="23" t="s">
        <v>187</v>
      </c>
      <c r="B92" s="24" t="s">
        <v>32</v>
      </c>
      <c r="C92" s="22">
        <v>8</v>
      </c>
      <c r="D92" s="22">
        <v>4</v>
      </c>
      <c r="E92" s="22">
        <f>19*150</f>
        <v>2850</v>
      </c>
      <c r="F92" s="22">
        <v>16</v>
      </c>
      <c r="G92" s="19">
        <f t="shared" ref="G92" si="51">ROUND((C92*D92*E92)*F92/1000000,3)</f>
        <v>1.4590000000000001</v>
      </c>
      <c r="H92" s="19">
        <f t="shared" ref="H92" si="52">F92*(2*C92*E92+2*D92*E92+2*C92*D92)/10000</f>
        <v>109.5424</v>
      </c>
      <c r="I92" s="22" t="s">
        <v>83</v>
      </c>
    </row>
    <row r="93" spans="1:9" s="4" customFormat="1" ht="24">
      <c r="A93" s="18" t="s">
        <v>234</v>
      </c>
      <c r="B93" s="18" t="s">
        <v>235</v>
      </c>
      <c r="C93" s="22">
        <v>8</v>
      </c>
      <c r="D93" s="22">
        <v>4</v>
      </c>
      <c r="E93" s="22">
        <f>19*150</f>
        <v>2850</v>
      </c>
      <c r="F93" s="22">
        <v>28</v>
      </c>
      <c r="G93" s="19">
        <f t="shared" ref="G93" si="53">ROUND((C93*D93*E93)*F93/1000000,3)</f>
        <v>2.5539999999999998</v>
      </c>
      <c r="H93" s="19">
        <f t="shared" ref="H93" si="54">F93*(2*C93*E93+2*D93*E93+2*C93*D93)/10000</f>
        <v>191.69919999999999</v>
      </c>
      <c r="I93" s="22" t="s">
        <v>84</v>
      </c>
    </row>
    <row r="94" spans="1:9" s="4" customFormat="1" ht="24">
      <c r="A94" s="25"/>
      <c r="B94" s="22"/>
      <c r="C94" s="22">
        <v>5</v>
      </c>
      <c r="D94" s="22">
        <v>20</v>
      </c>
      <c r="E94" s="22">
        <f>308</f>
        <v>308</v>
      </c>
      <c r="F94" s="22">
        <v>3</v>
      </c>
      <c r="G94" s="19">
        <f>ROUND((C94*D94*E94)*F94/1000000,3)</f>
        <v>9.1999999999999998E-2</v>
      </c>
      <c r="H94" s="19">
        <f>F94*(2*C94*E94+2*D94*E94+2*C94*D94)/10000</f>
        <v>4.68</v>
      </c>
      <c r="I94" s="22" t="s">
        <v>85</v>
      </c>
    </row>
    <row r="95" spans="1:9" s="4" customFormat="1" ht="24">
      <c r="A95" s="25"/>
      <c r="B95" s="22"/>
      <c r="C95" s="22">
        <v>5</v>
      </c>
      <c r="D95" s="22">
        <v>20</v>
      </c>
      <c r="E95" s="22">
        <v>296</v>
      </c>
      <c r="F95" s="22">
        <v>2</v>
      </c>
      <c r="G95" s="19">
        <f t="shared" ref="G95:G96" si="55">ROUND((C95*D95*E95)*F95/1000000,3)</f>
        <v>5.8999999999999997E-2</v>
      </c>
      <c r="H95" s="19">
        <f t="shared" ref="H95:H96" si="56">F95*(2*C95*E95+2*D95*E95+2*C95*D95)/10000</f>
        <v>3</v>
      </c>
      <c r="I95" s="22" t="s">
        <v>85</v>
      </c>
    </row>
    <row r="96" spans="1:9" s="4" customFormat="1" ht="24">
      <c r="A96" s="25"/>
      <c r="B96" s="22"/>
      <c r="C96" s="22">
        <v>5</v>
      </c>
      <c r="D96" s="22">
        <v>20</v>
      </c>
      <c r="E96" s="22">
        <v>150</v>
      </c>
      <c r="F96" s="22">
        <v>3</v>
      </c>
      <c r="G96" s="19">
        <f t="shared" si="55"/>
        <v>4.4999999999999998E-2</v>
      </c>
      <c r="H96" s="19">
        <f t="shared" si="56"/>
        <v>2.31</v>
      </c>
      <c r="I96" s="22" t="s">
        <v>85</v>
      </c>
    </row>
    <row r="97" spans="1:9" s="4" customFormat="1" ht="24">
      <c r="A97" s="25"/>
      <c r="B97" s="22"/>
      <c r="C97" s="22">
        <v>5</v>
      </c>
      <c r="D97" s="22">
        <v>20</v>
      </c>
      <c r="E97" s="22">
        <v>304</v>
      </c>
      <c r="F97" s="22">
        <v>2</v>
      </c>
      <c r="G97" s="19">
        <f t="shared" ref="G97" si="57">ROUND((C97*D97*E97)*F97/1000000,3)</f>
        <v>6.0999999999999999E-2</v>
      </c>
      <c r="H97" s="19">
        <f t="shared" ref="H97:H99" si="58">F97*(2*C97*E97+2*D97*E97+2*C97*D97)/10000</f>
        <v>3.08</v>
      </c>
      <c r="I97" s="22" t="s">
        <v>86</v>
      </c>
    </row>
    <row r="98" spans="1:9" s="11" customFormat="1" ht="24">
      <c r="A98" s="26" t="s">
        <v>232</v>
      </c>
      <c r="B98" s="17" t="s">
        <v>70</v>
      </c>
      <c r="C98" s="28">
        <v>4</v>
      </c>
      <c r="D98" s="28">
        <v>8</v>
      </c>
      <c r="E98" s="28">
        <v>136</v>
      </c>
      <c r="F98" s="28">
        <v>1</v>
      </c>
      <c r="G98" s="28">
        <f t="shared" ref="G98:G103" si="59">ROUND((C98*D98*E98)*F98/1000000,3)</f>
        <v>4.0000000000000001E-3</v>
      </c>
      <c r="H98" s="28"/>
      <c r="I98" s="17" t="s">
        <v>89</v>
      </c>
    </row>
    <row r="99" spans="1:9" s="11" customFormat="1" ht="24">
      <c r="A99" s="26"/>
      <c r="B99" s="17"/>
      <c r="C99" s="28">
        <v>4</v>
      </c>
      <c r="D99" s="28">
        <v>8</v>
      </c>
      <c r="E99" s="28">
        <v>298</v>
      </c>
      <c r="F99" s="28">
        <v>1</v>
      </c>
      <c r="G99" s="28">
        <f t="shared" si="59"/>
        <v>0.01</v>
      </c>
      <c r="H99" s="28">
        <f t="shared" si="58"/>
        <v>0.72160000000000002</v>
      </c>
      <c r="I99" s="17" t="s">
        <v>89</v>
      </c>
    </row>
    <row r="100" spans="1:9" s="11" customFormat="1" ht="24">
      <c r="A100" s="26"/>
      <c r="B100" s="17"/>
      <c r="C100" s="28">
        <v>4</v>
      </c>
      <c r="D100" s="28">
        <v>8</v>
      </c>
      <c r="E100" s="27">
        <v>458</v>
      </c>
      <c r="F100" s="27">
        <v>2</v>
      </c>
      <c r="G100" s="28">
        <f t="shared" ref="G100:G101" si="60">ROUND((C100*D100*E100)*F100/1000000,3)</f>
        <v>2.9000000000000001E-2</v>
      </c>
      <c r="H100" s="28">
        <f t="shared" ref="H100:H103" si="61">F100*(2*C100*E100+2*D100*E100+2*C100*D100)/10000</f>
        <v>2.2111999999999998</v>
      </c>
      <c r="I100" s="17" t="s">
        <v>87</v>
      </c>
    </row>
    <row r="101" spans="1:9" s="11" customFormat="1" ht="24">
      <c r="A101" s="26"/>
      <c r="B101" s="17"/>
      <c r="C101" s="28">
        <v>4</v>
      </c>
      <c r="D101" s="28">
        <v>8</v>
      </c>
      <c r="E101" s="27">
        <v>136</v>
      </c>
      <c r="F101" s="27">
        <v>1</v>
      </c>
      <c r="G101" s="28">
        <f t="shared" si="60"/>
        <v>4.0000000000000001E-3</v>
      </c>
      <c r="H101" s="28">
        <f t="shared" si="61"/>
        <v>0.33279999999999998</v>
      </c>
      <c r="I101" s="17" t="s">
        <v>87</v>
      </c>
    </row>
    <row r="102" spans="1:9" s="11" customFormat="1" ht="24">
      <c r="A102" s="26"/>
      <c r="B102" s="17"/>
      <c r="C102" s="28">
        <v>4</v>
      </c>
      <c r="D102" s="28">
        <v>8</v>
      </c>
      <c r="E102" s="28">
        <v>200</v>
      </c>
      <c r="F102" s="28">
        <v>27</v>
      </c>
      <c r="G102" s="28">
        <f t="shared" si="59"/>
        <v>0.17299999999999999</v>
      </c>
      <c r="H102" s="28">
        <f t="shared" si="61"/>
        <v>13.1328</v>
      </c>
      <c r="I102" s="17" t="s">
        <v>88</v>
      </c>
    </row>
    <row r="103" spans="1:9" s="11" customFormat="1" ht="24">
      <c r="A103" s="26"/>
      <c r="B103" s="17"/>
      <c r="C103" s="28">
        <v>4</v>
      </c>
      <c r="D103" s="28">
        <v>8</v>
      </c>
      <c r="E103" s="28">
        <v>140</v>
      </c>
      <c r="F103" s="28">
        <f>27*2+9</f>
        <v>63</v>
      </c>
      <c r="G103" s="28">
        <f t="shared" si="59"/>
        <v>0.28199999999999997</v>
      </c>
      <c r="H103" s="28">
        <f t="shared" si="61"/>
        <v>21.571200000000001</v>
      </c>
      <c r="I103" s="17" t="s">
        <v>88</v>
      </c>
    </row>
    <row r="104" spans="1:9" s="4" customFormat="1">
      <c r="A104" s="25" t="s">
        <v>236</v>
      </c>
      <c r="B104" s="18" t="s">
        <v>90</v>
      </c>
      <c r="C104" s="19">
        <v>10</v>
      </c>
      <c r="D104" s="19">
        <v>20</v>
      </c>
      <c r="E104" s="19">
        <v>488</v>
      </c>
      <c r="F104" s="19">
        <v>6</v>
      </c>
      <c r="G104" s="19">
        <f t="shared" ref="G104:G105" si="62">ROUND((C104*D104*E104)*F104/1000000,3)</f>
        <v>0.58599999999999997</v>
      </c>
      <c r="H104" s="19">
        <f t="shared" ref="H104:H105" si="63">F104*(2*C104*E104+2*D104*E104+2*C104*D104)/10000</f>
        <v>17.808</v>
      </c>
      <c r="I104" s="18" t="s">
        <v>91</v>
      </c>
    </row>
    <row r="105" spans="1:9" s="4" customFormat="1" ht="24">
      <c r="A105" s="25"/>
      <c r="B105" s="18"/>
      <c r="C105" s="19">
        <v>4</v>
      </c>
      <c r="D105" s="19">
        <v>15</v>
      </c>
      <c r="E105" s="19">
        <v>35</v>
      </c>
      <c r="F105" s="19">
        <v>24</v>
      </c>
      <c r="G105" s="19">
        <f t="shared" si="62"/>
        <v>0.05</v>
      </c>
      <c r="H105" s="19">
        <f t="shared" si="63"/>
        <v>3.48</v>
      </c>
      <c r="I105" s="18" t="s">
        <v>92</v>
      </c>
    </row>
    <row r="106" spans="1:9" s="4" customFormat="1">
      <c r="A106" s="25"/>
      <c r="B106" s="18"/>
      <c r="C106" s="19">
        <v>4</v>
      </c>
      <c r="D106" s="19">
        <v>8</v>
      </c>
      <c r="E106" s="19">
        <v>150</v>
      </c>
      <c r="F106" s="19">
        <f>4*F105</f>
        <v>96</v>
      </c>
      <c r="G106" s="19">
        <f t="shared" ref="G106" si="64">ROUND((C106*D106*E106)*F106/1000000,3)</f>
        <v>0.46100000000000002</v>
      </c>
      <c r="H106" s="19">
        <f t="shared" ref="H106" si="65">F106*(2*C106*E106+2*D106*E106+2*C106*D106)/10000</f>
        <v>35.174399999999999</v>
      </c>
      <c r="I106" s="18" t="s">
        <v>93</v>
      </c>
    </row>
    <row r="107" spans="1:9" s="4" customFormat="1">
      <c r="A107" s="25"/>
      <c r="B107" s="18"/>
      <c r="C107" s="19">
        <v>4</v>
      </c>
      <c r="D107" s="19">
        <v>8</v>
      </c>
      <c r="E107" s="19">
        <v>38</v>
      </c>
      <c r="F107" s="19">
        <f>F105</f>
        <v>24</v>
      </c>
      <c r="G107" s="19">
        <f t="shared" ref="G107" si="66">ROUND((C107*D107*E107)*F107/1000000,3)</f>
        <v>2.9000000000000001E-2</v>
      </c>
      <c r="H107" s="19">
        <f t="shared" ref="H107" si="67">F107*(2*C107*E107+2*D107*E107+2*C107*D107)/10000</f>
        <v>2.3424</v>
      </c>
      <c r="I107" s="18" t="s">
        <v>94</v>
      </c>
    </row>
    <row r="108" spans="1:9" s="4" customFormat="1" ht="30">
      <c r="A108" s="23" t="s">
        <v>188</v>
      </c>
      <c r="B108" s="24" t="s">
        <v>97</v>
      </c>
      <c r="C108" s="22"/>
      <c r="D108" s="22"/>
      <c r="E108" s="22"/>
      <c r="F108" s="22"/>
      <c r="G108" s="19"/>
      <c r="H108" s="19"/>
      <c r="I108" s="22"/>
    </row>
    <row r="109" spans="1:9" s="13" customFormat="1" ht="36">
      <c r="A109" s="32" t="s">
        <v>237</v>
      </c>
      <c r="B109" s="31" t="s">
        <v>3</v>
      </c>
      <c r="C109" s="31">
        <v>8</v>
      </c>
      <c r="D109" s="31">
        <v>16</v>
      </c>
      <c r="E109" s="31">
        <v>414</v>
      </c>
      <c r="F109" s="31">
        <v>4</v>
      </c>
      <c r="G109" s="33">
        <f t="shared" ref="G109" si="68">ROUND((C109*D109*E109)*F109/1000000,3)</f>
        <v>0.21199999999999999</v>
      </c>
      <c r="H109" s="33">
        <f t="shared" ref="H109" si="69">F109*(2*C109*E109+2*D109*E109+2*C109*D109)/10000</f>
        <v>8.0511999999999997</v>
      </c>
      <c r="I109" s="31" t="s">
        <v>71</v>
      </c>
    </row>
    <row r="110" spans="1:9" s="13" customFormat="1">
      <c r="A110" s="32"/>
      <c r="B110" s="31"/>
      <c r="C110" s="31">
        <v>8</v>
      </c>
      <c r="D110" s="31">
        <v>16</v>
      </c>
      <c r="E110" s="31">
        <v>380</v>
      </c>
      <c r="F110" s="31">
        <v>9</v>
      </c>
      <c r="G110" s="33">
        <f t="shared" ref="G110:G113" si="70">ROUND((C110*D110*E110)*F110/1000000,3)</f>
        <v>0.438</v>
      </c>
      <c r="H110" s="33">
        <f t="shared" ref="H110:H113" si="71">F110*(2*C110*E110+2*D110*E110+2*C110*D110)/10000</f>
        <v>16.6464</v>
      </c>
      <c r="I110" s="31" t="s">
        <v>72</v>
      </c>
    </row>
    <row r="111" spans="1:9" s="13" customFormat="1">
      <c r="A111" s="32"/>
      <c r="B111" s="31"/>
      <c r="C111" s="31"/>
      <c r="D111" s="31"/>
      <c r="E111" s="31"/>
      <c r="F111" s="31">
        <f>F110+F109</f>
        <v>13</v>
      </c>
      <c r="G111" s="33"/>
      <c r="H111" s="33"/>
      <c r="I111" s="31" t="s">
        <v>63</v>
      </c>
    </row>
    <row r="112" spans="1:9" s="13" customFormat="1">
      <c r="A112" s="32"/>
      <c r="B112" s="31"/>
      <c r="C112" s="31">
        <v>8</v>
      </c>
      <c r="D112" s="31">
        <v>30</v>
      </c>
      <c r="E112" s="31">
        <v>900</v>
      </c>
      <c r="F112" s="31">
        <v>4</v>
      </c>
      <c r="G112" s="33">
        <f t="shared" si="70"/>
        <v>0.86399999999999999</v>
      </c>
      <c r="H112" s="33">
        <f t="shared" si="71"/>
        <v>27.552</v>
      </c>
      <c r="I112" s="31" t="s">
        <v>20</v>
      </c>
    </row>
    <row r="113" spans="1:9" s="13" customFormat="1">
      <c r="A113" s="32"/>
      <c r="B113" s="31"/>
      <c r="C113" s="31">
        <v>8</v>
      </c>
      <c r="D113" s="31">
        <v>30</v>
      </c>
      <c r="E113" s="31">
        <v>592</v>
      </c>
      <c r="F113" s="31">
        <v>2</v>
      </c>
      <c r="G113" s="33">
        <f t="shared" si="70"/>
        <v>0.28399999999999997</v>
      </c>
      <c r="H113" s="33">
        <f t="shared" si="71"/>
        <v>9.0944000000000003</v>
      </c>
      <c r="I113" s="31" t="s">
        <v>20</v>
      </c>
    </row>
    <row r="114" spans="1:9" s="13" customFormat="1">
      <c r="A114" s="32"/>
      <c r="B114" s="31"/>
      <c r="C114" s="31">
        <v>8</v>
      </c>
      <c r="D114" s="31">
        <v>30</v>
      </c>
      <c r="E114" s="31">
        <v>292</v>
      </c>
      <c r="F114" s="31">
        <v>2</v>
      </c>
      <c r="G114" s="33">
        <f t="shared" ref="G114" si="72">ROUND((C114*D114*E114)*F114/1000000,3)</f>
        <v>0.14000000000000001</v>
      </c>
      <c r="H114" s="33">
        <f t="shared" ref="H114" si="73">F114*(2*C114*E114+2*D114*E114+2*C114*D114)/10000</f>
        <v>4.5343999999999998</v>
      </c>
      <c r="I114" s="31" t="s">
        <v>20</v>
      </c>
    </row>
    <row r="115" spans="1:9" s="13" customFormat="1" ht="24">
      <c r="A115" s="32"/>
      <c r="B115" s="31"/>
      <c r="C115" s="31">
        <v>4</v>
      </c>
      <c r="D115" s="31">
        <v>8</v>
      </c>
      <c r="E115" s="31">
        <f>292*3</f>
        <v>876</v>
      </c>
      <c r="F115" s="31">
        <v>15</v>
      </c>
      <c r="G115" s="33">
        <f t="shared" ref="G115" si="74">ROUND((C115*D115*E115)*F115/1000000,3)</f>
        <v>0.42</v>
      </c>
      <c r="H115" s="33">
        <f t="shared" ref="H115" si="75">F115*(2*C115*E115+2*D115*E115+2*C115*D115)/10000</f>
        <v>31.632000000000001</v>
      </c>
      <c r="I115" s="31" t="s">
        <v>95</v>
      </c>
    </row>
    <row r="116" spans="1:9" s="13" customFormat="1">
      <c r="A116" s="32"/>
      <c r="B116" s="31"/>
      <c r="C116" s="31">
        <v>4</v>
      </c>
      <c r="D116" s="31">
        <v>8</v>
      </c>
      <c r="E116" s="31">
        <v>395</v>
      </c>
      <c r="F116" s="31">
        <v>8</v>
      </c>
      <c r="G116" s="33">
        <f t="shared" ref="G116" si="76">ROUND((C116*D116*E116)*F116/1000000,3)</f>
        <v>0.10100000000000001</v>
      </c>
      <c r="H116" s="33">
        <f t="shared" ref="H116" si="77">F116*(2*C116*E116+2*D116*E116+2*C116*D116)/10000</f>
        <v>7.6352000000000002</v>
      </c>
      <c r="I116" s="31" t="s">
        <v>4</v>
      </c>
    </row>
    <row r="117" spans="1:9" s="13" customFormat="1">
      <c r="A117" s="32"/>
      <c r="B117" s="31"/>
      <c r="C117" s="31">
        <v>4</v>
      </c>
      <c r="D117" s="31">
        <v>8</v>
      </c>
      <c r="E117" s="31">
        <v>300</v>
      </c>
      <c r="F117" s="31">
        <v>1</v>
      </c>
      <c r="G117" s="33">
        <f t="shared" ref="G117:G118" si="78">ROUND((C117*D117*E117)*F117/1000000,3)</f>
        <v>0.01</v>
      </c>
      <c r="H117" s="33">
        <f t="shared" ref="H117:H118" si="79">F117*(2*C117*E117+2*D117*E117+2*C117*D117)/10000</f>
        <v>0.72640000000000005</v>
      </c>
      <c r="I117" s="31" t="s">
        <v>4</v>
      </c>
    </row>
    <row r="118" spans="1:9" s="11" customFormat="1">
      <c r="A118" s="26" t="s">
        <v>233</v>
      </c>
      <c r="B118" s="27" t="s">
        <v>98</v>
      </c>
      <c r="C118" s="27">
        <v>4</v>
      </c>
      <c r="D118" s="27">
        <v>8</v>
      </c>
      <c r="E118" s="27">
        <v>898</v>
      </c>
      <c r="F118" s="27">
        <v>31</v>
      </c>
      <c r="G118" s="28">
        <f t="shared" si="78"/>
        <v>0.89100000000000001</v>
      </c>
      <c r="H118" s="28">
        <f t="shared" si="79"/>
        <v>67.009600000000006</v>
      </c>
      <c r="I118" s="27" t="s">
        <v>99</v>
      </c>
    </row>
    <row r="119" spans="1:9" s="11" customFormat="1">
      <c r="A119" s="26"/>
      <c r="B119" s="27" t="s">
        <v>70</v>
      </c>
      <c r="C119" s="27">
        <v>4</v>
      </c>
      <c r="D119" s="27">
        <v>8</v>
      </c>
      <c r="E119" s="27">
        <v>141</v>
      </c>
      <c r="F119" s="27">
        <f>35+35</f>
        <v>70</v>
      </c>
      <c r="G119" s="28">
        <f t="shared" ref="G119:G121" si="80">ROUND((C119*D119*E119)*F119/1000000,3)</f>
        <v>0.316</v>
      </c>
      <c r="H119" s="28">
        <f t="shared" ref="H119:H121" si="81">F119*(2*C119*E119+2*D119*E119+2*C119*D119)/10000</f>
        <v>24.135999999999999</v>
      </c>
      <c r="I119" s="27" t="s">
        <v>70</v>
      </c>
    </row>
    <row r="120" spans="1:9" s="11" customFormat="1" ht="24">
      <c r="A120" s="26"/>
      <c r="B120" s="27"/>
      <c r="C120" s="27">
        <v>4</v>
      </c>
      <c r="D120" s="27">
        <v>8</v>
      </c>
      <c r="E120" s="27">
        <v>190</v>
      </c>
      <c r="F120" s="27">
        <f>12+12</f>
        <v>24</v>
      </c>
      <c r="G120" s="28">
        <f t="shared" si="80"/>
        <v>0.14599999999999999</v>
      </c>
      <c r="H120" s="28">
        <f t="shared" si="81"/>
        <v>11.0976</v>
      </c>
      <c r="I120" s="27" t="s">
        <v>100</v>
      </c>
    </row>
    <row r="121" spans="1:9" s="11" customFormat="1" ht="24">
      <c r="A121" s="26"/>
      <c r="B121" s="27"/>
      <c r="C121" s="27">
        <v>4</v>
      </c>
      <c r="D121" s="27">
        <v>8</v>
      </c>
      <c r="E121" s="27">
        <v>442</v>
      </c>
      <c r="F121" s="27">
        <f>7+7+7</f>
        <v>21</v>
      </c>
      <c r="G121" s="28">
        <f t="shared" si="80"/>
        <v>0.29699999999999999</v>
      </c>
      <c r="H121" s="28">
        <f t="shared" si="81"/>
        <v>22.411200000000001</v>
      </c>
      <c r="I121" s="27" t="s">
        <v>100</v>
      </c>
    </row>
    <row r="122" spans="1:9" s="11" customFormat="1">
      <c r="A122" s="26"/>
      <c r="B122" s="27"/>
      <c r="C122" s="27">
        <v>8</v>
      </c>
      <c r="D122" s="27">
        <v>4</v>
      </c>
      <c r="E122" s="27">
        <f>892</f>
        <v>892</v>
      </c>
      <c r="F122" s="27">
        <v>2</v>
      </c>
      <c r="G122" s="28">
        <f t="shared" ref="G122:G123" si="82">ROUND((C122*D122*E122)*F122/1000000,3)</f>
        <v>5.7000000000000002E-2</v>
      </c>
      <c r="H122" s="28">
        <f t="shared" ref="H122:H123" si="83">F122*(2*C122*E122+2*D122*E122+2*C122*D122)/10000</f>
        <v>4.2944000000000004</v>
      </c>
      <c r="I122" s="27" t="s">
        <v>101</v>
      </c>
    </row>
    <row r="123" spans="1:9" s="11" customFormat="1">
      <c r="A123" s="26"/>
      <c r="B123" s="27"/>
      <c r="C123" s="27">
        <v>8</v>
      </c>
      <c r="D123" s="27">
        <v>4</v>
      </c>
      <c r="E123" s="27">
        <v>320</v>
      </c>
      <c r="F123" s="27">
        <v>2</v>
      </c>
      <c r="G123" s="28">
        <f t="shared" si="82"/>
        <v>0.02</v>
      </c>
      <c r="H123" s="28">
        <f t="shared" si="83"/>
        <v>1.5488</v>
      </c>
      <c r="I123" s="27" t="s">
        <v>101</v>
      </c>
    </row>
    <row r="124" spans="1:9" s="11" customFormat="1">
      <c r="A124" s="26" t="s">
        <v>238</v>
      </c>
      <c r="B124" s="27" t="s">
        <v>105</v>
      </c>
      <c r="C124" s="27">
        <v>4</v>
      </c>
      <c r="D124" s="27">
        <v>8</v>
      </c>
      <c r="E124" s="27">
        <v>292</v>
      </c>
      <c r="F124" s="27">
        <f>38</f>
        <v>38</v>
      </c>
      <c r="G124" s="28">
        <f t="shared" ref="G124:G125" si="84">ROUND((C124*D124*E124)*F124/1000000,3)</f>
        <v>0.35499999999999998</v>
      </c>
      <c r="H124" s="28">
        <f t="shared" ref="H124:H125" si="85">F124*(2*C124*E124+2*D124*E124+2*C124*D124)/10000</f>
        <v>26.8736</v>
      </c>
      <c r="I124" s="27" t="s">
        <v>56</v>
      </c>
    </row>
    <row r="125" spans="1:9" s="11" customFormat="1">
      <c r="A125" s="26"/>
      <c r="B125" s="27"/>
      <c r="C125" s="27">
        <v>4</v>
      </c>
      <c r="D125" s="27">
        <v>8</v>
      </c>
      <c r="E125" s="27">
        <v>292</v>
      </c>
      <c r="F125" s="27">
        <v>10</v>
      </c>
      <c r="G125" s="28">
        <f t="shared" si="84"/>
        <v>9.2999999999999999E-2</v>
      </c>
      <c r="H125" s="28">
        <f t="shared" si="85"/>
        <v>7.0720000000000001</v>
      </c>
      <c r="I125" s="27" t="s">
        <v>102</v>
      </c>
    </row>
    <row r="126" spans="1:9" s="13" customFormat="1">
      <c r="A126" s="32"/>
      <c r="B126" s="31"/>
      <c r="C126" s="31">
        <v>292</v>
      </c>
      <c r="D126" s="31"/>
      <c r="E126" s="31">
        <v>900</v>
      </c>
      <c r="F126" s="31">
        <v>1</v>
      </c>
      <c r="G126" s="33"/>
      <c r="H126" s="33">
        <f>C126*E126*F126/10000</f>
        <v>26.28</v>
      </c>
      <c r="I126" s="31" t="s">
        <v>108</v>
      </c>
    </row>
    <row r="127" spans="1:9" s="13" customFormat="1">
      <c r="A127" s="32"/>
      <c r="B127" s="31"/>
      <c r="C127" s="32"/>
      <c r="D127" s="31"/>
      <c r="E127" s="31">
        <v>292</v>
      </c>
      <c r="F127" s="31"/>
      <c r="G127" s="33"/>
      <c r="H127" s="33"/>
      <c r="I127" s="31" t="s">
        <v>103</v>
      </c>
    </row>
    <row r="128" spans="1:9" s="13" customFormat="1">
      <c r="A128" s="32"/>
      <c r="B128" s="31"/>
      <c r="C128" s="31"/>
      <c r="D128" s="31"/>
      <c r="E128" s="31">
        <v>310</v>
      </c>
      <c r="F128" s="31"/>
      <c r="G128" s="33"/>
      <c r="H128" s="33"/>
      <c r="I128" s="31" t="s">
        <v>104</v>
      </c>
    </row>
    <row r="129" spans="1:9" s="11" customFormat="1">
      <c r="A129" s="26" t="s">
        <v>239</v>
      </c>
      <c r="B129" s="27" t="s">
        <v>106</v>
      </c>
      <c r="C129" s="27">
        <v>4</v>
      </c>
      <c r="D129" s="27">
        <v>8</v>
      </c>
      <c r="E129" s="27">
        <v>292</v>
      </c>
      <c r="F129" s="27">
        <v>38</v>
      </c>
      <c r="G129" s="28">
        <f t="shared" ref="G129" si="86">ROUND((C129*D129*E129)*F129/1000000,3)</f>
        <v>0.35499999999999998</v>
      </c>
      <c r="H129" s="28">
        <f t="shared" ref="H129" si="87">F129*(2*C129*E129+2*D129*E129+2*C129*D129)/10000</f>
        <v>26.8736</v>
      </c>
      <c r="I129" s="27" t="s">
        <v>56</v>
      </c>
    </row>
    <row r="130" spans="1:9" s="11" customFormat="1">
      <c r="A130" s="26"/>
      <c r="B130" s="27"/>
      <c r="C130" s="27">
        <v>4</v>
      </c>
      <c r="D130" s="27">
        <v>8</v>
      </c>
      <c r="E130" s="27">
        <v>292</v>
      </c>
      <c r="F130" s="27">
        <v>38</v>
      </c>
      <c r="G130" s="28">
        <f t="shared" ref="G130:G131" si="88">ROUND((C130*D130*E130)*F130/1000000,3)</f>
        <v>0.35499999999999998</v>
      </c>
      <c r="H130" s="28">
        <f t="shared" ref="H130:H131" si="89">F130*(2*C130*E130+2*D130*E130+2*C130*D130)/10000</f>
        <v>26.8736</v>
      </c>
      <c r="I130" s="27" t="s">
        <v>107</v>
      </c>
    </row>
    <row r="131" spans="1:9" s="11" customFormat="1">
      <c r="A131" s="26"/>
      <c r="B131" s="27"/>
      <c r="C131" s="27">
        <v>4</v>
      </c>
      <c r="D131" s="27">
        <v>8</v>
      </c>
      <c r="E131" s="27">
        <v>292</v>
      </c>
      <c r="F131" s="27">
        <v>10</v>
      </c>
      <c r="G131" s="28">
        <f t="shared" si="88"/>
        <v>9.2999999999999999E-2</v>
      </c>
      <c r="H131" s="28">
        <f t="shared" si="89"/>
        <v>7.0720000000000001</v>
      </c>
      <c r="I131" s="27" t="s">
        <v>102</v>
      </c>
    </row>
    <row r="132" spans="1:9" s="13" customFormat="1">
      <c r="A132" s="32"/>
      <c r="B132" s="31"/>
      <c r="C132" s="31">
        <v>292</v>
      </c>
      <c r="D132" s="31"/>
      <c r="E132" s="31">
        <v>590</v>
      </c>
      <c r="F132" s="31">
        <v>1</v>
      </c>
      <c r="G132" s="33"/>
      <c r="H132" s="33">
        <f>C132*E132*F132/10000</f>
        <v>17.228000000000002</v>
      </c>
      <c r="I132" s="31" t="s">
        <v>108</v>
      </c>
    </row>
    <row r="133" spans="1:9" s="11" customFormat="1" ht="24">
      <c r="A133" s="26" t="s">
        <v>240</v>
      </c>
      <c r="B133" s="27" t="s">
        <v>110</v>
      </c>
      <c r="C133" s="27">
        <v>4</v>
      </c>
      <c r="D133" s="27">
        <v>8</v>
      </c>
      <c r="E133" s="27">
        <v>335</v>
      </c>
      <c r="F133" s="27">
        <v>21</v>
      </c>
      <c r="G133" s="28">
        <f t="shared" ref="G133:G134" si="90">ROUND((C133*D133*E133)*F133/1000000,3)</f>
        <v>0.22500000000000001</v>
      </c>
      <c r="H133" s="28">
        <f t="shared" ref="H133:H134" si="91">F133*(2*C133*E133+2*D133*E133+2*C133*D133)/10000</f>
        <v>17.0184</v>
      </c>
      <c r="I133" s="27" t="s">
        <v>109</v>
      </c>
    </row>
    <row r="134" spans="1:9" s="4" customFormat="1" ht="24">
      <c r="A134" s="25" t="s">
        <v>240</v>
      </c>
      <c r="B134" s="22" t="s">
        <v>215</v>
      </c>
      <c r="C134" s="22">
        <v>4</v>
      </c>
      <c r="D134" s="22">
        <v>4</v>
      </c>
      <c r="E134" s="22">
        <v>50</v>
      </c>
      <c r="F134" s="22">
        <v>24</v>
      </c>
      <c r="G134" s="19">
        <f t="shared" si="90"/>
        <v>1.9E-2</v>
      </c>
      <c r="H134" s="19">
        <f t="shared" si="91"/>
        <v>1.9967999999999999</v>
      </c>
      <c r="I134" s="22" t="s">
        <v>216</v>
      </c>
    </row>
    <row r="135" spans="1:9" s="4" customFormat="1" ht="24">
      <c r="A135" s="25"/>
      <c r="B135" s="22"/>
      <c r="C135" s="22">
        <v>50</v>
      </c>
      <c r="D135" s="22"/>
      <c r="E135" s="22">
        <f>19*170.3</f>
        <v>3235.7000000000003</v>
      </c>
      <c r="F135" s="22"/>
      <c r="G135" s="25"/>
      <c r="H135" s="19">
        <f>C135*E135/10000</f>
        <v>16.1785</v>
      </c>
      <c r="I135" s="22" t="s">
        <v>217</v>
      </c>
    </row>
    <row r="136" spans="1:9" s="4" customFormat="1" ht="15">
      <c r="A136" s="23" t="s">
        <v>189</v>
      </c>
      <c r="B136" s="24" t="s">
        <v>111</v>
      </c>
      <c r="C136" s="22"/>
      <c r="D136" s="22"/>
      <c r="E136" s="22"/>
      <c r="F136" s="22"/>
      <c r="G136" s="19"/>
      <c r="H136" s="19"/>
      <c r="I136" s="22"/>
    </row>
    <row r="137" spans="1:9" s="4" customFormat="1" ht="24">
      <c r="A137" s="25"/>
      <c r="B137" s="22"/>
      <c r="C137" s="22">
        <v>4</v>
      </c>
      <c r="D137" s="22">
        <v>8</v>
      </c>
      <c r="E137" s="22">
        <v>100</v>
      </c>
      <c r="F137" s="22">
        <v>30</v>
      </c>
      <c r="G137" s="19">
        <f t="shared" ref="G137" si="92">ROUND((C137*D137*E137)*F137/1000000,3)</f>
        <v>9.6000000000000002E-2</v>
      </c>
      <c r="H137" s="19">
        <f t="shared" ref="H137" si="93">F137*(2*C137*E137+2*D137*E137+2*C137*D137)/10000</f>
        <v>7.3920000000000003</v>
      </c>
      <c r="I137" s="22" t="s">
        <v>58</v>
      </c>
    </row>
    <row r="138" spans="1:9" s="4" customFormat="1">
      <c r="A138" s="25"/>
      <c r="B138" s="22"/>
      <c r="C138" s="22">
        <v>4</v>
      </c>
      <c r="D138" s="22">
        <v>8</v>
      </c>
      <c r="E138" s="22">
        <v>298</v>
      </c>
      <c r="F138" s="22">
        <v>3</v>
      </c>
      <c r="G138" s="19">
        <f>ROUND((C138*D138*E138)*F138/1000000,3)</f>
        <v>2.9000000000000001E-2</v>
      </c>
      <c r="H138" s="19">
        <f>F138*(2*C138*E138+2*D138*E138+2*C138*D138)/10000</f>
        <v>2.1648000000000001</v>
      </c>
      <c r="I138" s="22" t="s">
        <v>59</v>
      </c>
    </row>
    <row r="139" spans="1:9" s="4" customFormat="1" ht="30">
      <c r="A139" s="23" t="s">
        <v>190</v>
      </c>
      <c r="B139" s="24" t="s">
        <v>112</v>
      </c>
      <c r="C139" s="22"/>
      <c r="D139" s="22"/>
      <c r="E139" s="22"/>
      <c r="F139" s="22"/>
      <c r="G139" s="19"/>
      <c r="H139" s="19"/>
      <c r="I139" s="22"/>
    </row>
    <row r="140" spans="1:9" s="11" customFormat="1" ht="24">
      <c r="A140" s="26" t="s">
        <v>241</v>
      </c>
      <c r="B140" s="27" t="s">
        <v>3</v>
      </c>
      <c r="C140" s="27">
        <v>8</v>
      </c>
      <c r="D140" s="27">
        <v>16</v>
      </c>
      <c r="E140" s="27">
        <v>608</v>
      </c>
      <c r="F140" s="27">
        <v>4</v>
      </c>
      <c r="G140" s="28">
        <f t="shared" ref="G140" si="94">ROUND((C140*D140*E140)*F140/1000000,3)</f>
        <v>0.311</v>
      </c>
      <c r="H140" s="28">
        <f t="shared" ref="H140" si="95">F140*(2*C140*E140+2*D140*E140+2*C140*D140)/10000</f>
        <v>11.776</v>
      </c>
      <c r="I140" s="27" t="s">
        <v>96</v>
      </c>
    </row>
    <row r="141" spans="1:9" s="11" customFormat="1">
      <c r="A141" s="26"/>
      <c r="B141" s="27"/>
      <c r="C141" s="27"/>
      <c r="D141" s="27"/>
      <c r="E141" s="27">
        <v>608</v>
      </c>
      <c r="F141" s="27">
        <v>4</v>
      </c>
      <c r="G141" s="28"/>
      <c r="H141" s="28"/>
      <c r="I141" s="27" t="s">
        <v>74</v>
      </c>
    </row>
    <row r="142" spans="1:9" s="11" customFormat="1">
      <c r="A142" s="26" t="s">
        <v>242</v>
      </c>
      <c r="B142" s="27" t="s">
        <v>79</v>
      </c>
      <c r="C142" s="27">
        <v>4</v>
      </c>
      <c r="D142" s="27">
        <v>4</v>
      </c>
      <c r="E142" s="27">
        <v>288</v>
      </c>
      <c r="F142" s="27">
        <f>2*16</f>
        <v>32</v>
      </c>
      <c r="G142" s="28"/>
      <c r="H142" s="28">
        <f>F142*(2*C142*E142+2*D142*E142+2*C142*D142)/10000</f>
        <v>14.848000000000001</v>
      </c>
      <c r="I142" s="27" t="s">
        <v>75</v>
      </c>
    </row>
    <row r="143" spans="1:9" s="11" customFormat="1">
      <c r="A143" s="26"/>
      <c r="B143" s="27"/>
      <c r="C143" s="27"/>
      <c r="D143" s="27"/>
      <c r="E143" s="27"/>
      <c r="F143" s="27">
        <f>F142*2</f>
        <v>64</v>
      </c>
      <c r="G143" s="28"/>
      <c r="H143" s="28"/>
      <c r="I143" s="27" t="s">
        <v>76</v>
      </c>
    </row>
    <row r="144" spans="1:9" s="11" customFormat="1" ht="24">
      <c r="A144" s="26"/>
      <c r="B144" s="27"/>
      <c r="C144" s="27"/>
      <c r="D144" s="27"/>
      <c r="E144" s="27"/>
      <c r="F144" s="27"/>
      <c r="G144" s="28"/>
      <c r="H144" s="28">
        <f>1.06*F142</f>
        <v>33.92</v>
      </c>
      <c r="I144" s="27" t="s">
        <v>77</v>
      </c>
    </row>
    <row r="145" spans="1:9" s="11" customFormat="1" ht="36">
      <c r="A145" s="26"/>
      <c r="B145" s="27"/>
      <c r="C145" s="27"/>
      <c r="D145" s="27"/>
      <c r="E145" s="27"/>
      <c r="F145" s="27"/>
      <c r="G145" s="28"/>
      <c r="H145" s="28">
        <f>2*1.17</f>
        <v>2.34</v>
      </c>
      <c r="I145" s="27" t="s">
        <v>113</v>
      </c>
    </row>
    <row r="146" spans="1:9" s="11" customFormat="1">
      <c r="A146" s="26" t="s">
        <v>243</v>
      </c>
      <c r="B146" s="27" t="s">
        <v>78</v>
      </c>
      <c r="C146" s="27">
        <v>4</v>
      </c>
      <c r="D146" s="27">
        <v>4</v>
      </c>
      <c r="E146" s="27">
        <v>608</v>
      </c>
      <c r="F146" s="27">
        <f>2*2</f>
        <v>4</v>
      </c>
      <c r="G146" s="28">
        <f t="shared" ref="G146" si="96">ROUND((C146*D146*E146)*F146/1000000,3)</f>
        <v>3.9E-2</v>
      </c>
      <c r="H146" s="28">
        <f t="shared" ref="H146" si="97">F146*(2*C146*E146+2*D146*E146+2*C146*D146)/10000</f>
        <v>3.9039999999999999</v>
      </c>
      <c r="I146" s="27" t="s">
        <v>80</v>
      </c>
    </row>
    <row r="147" spans="1:9" s="11" customFormat="1">
      <c r="A147" s="26"/>
      <c r="B147" s="27"/>
      <c r="C147" s="27"/>
      <c r="D147" s="27"/>
      <c r="E147" s="27"/>
      <c r="F147" s="27">
        <v>2</v>
      </c>
      <c r="G147" s="28"/>
      <c r="H147" s="28">
        <f>1.22*F147</f>
        <v>2.44</v>
      </c>
      <c r="I147" s="27" t="s">
        <v>81</v>
      </c>
    </row>
    <row r="148" spans="1:9" s="4" customFormat="1" ht="15">
      <c r="A148" s="23" t="s">
        <v>209</v>
      </c>
      <c r="B148" s="24" t="s">
        <v>114</v>
      </c>
      <c r="C148" s="22"/>
      <c r="D148" s="22"/>
      <c r="E148" s="22"/>
      <c r="F148" s="22"/>
      <c r="G148" s="19"/>
      <c r="H148" s="19"/>
      <c r="I148" s="22"/>
    </row>
    <row r="149" spans="1:9" s="11" customFormat="1">
      <c r="A149" s="26" t="s">
        <v>244</v>
      </c>
      <c r="B149" s="27" t="s">
        <v>115</v>
      </c>
      <c r="C149" s="27">
        <v>4</v>
      </c>
      <c r="D149" s="27">
        <v>8</v>
      </c>
      <c r="E149" s="27">
        <v>293</v>
      </c>
      <c r="F149" s="27">
        <f>3*7+2</f>
        <v>23</v>
      </c>
      <c r="G149" s="28"/>
      <c r="H149" s="28"/>
      <c r="I149" s="27" t="s">
        <v>115</v>
      </c>
    </row>
    <row r="150" spans="1:9" s="11" customFormat="1">
      <c r="A150" s="26"/>
      <c r="B150" s="27"/>
      <c r="C150" s="27">
        <v>4</v>
      </c>
      <c r="D150" s="27">
        <v>8</v>
      </c>
      <c r="E150" s="27">
        <v>284</v>
      </c>
      <c r="F150" s="27">
        <v>1</v>
      </c>
      <c r="G150" s="28"/>
      <c r="H150" s="28"/>
      <c r="I150" s="27" t="s">
        <v>115</v>
      </c>
    </row>
    <row r="151" spans="1:9" s="11" customFormat="1">
      <c r="A151" s="26"/>
      <c r="B151" s="27"/>
      <c r="C151" s="27">
        <v>4</v>
      </c>
      <c r="D151" s="27">
        <v>4</v>
      </c>
      <c r="E151" s="27">
        <v>327</v>
      </c>
      <c r="F151" s="27">
        <v>6</v>
      </c>
      <c r="G151" s="28"/>
      <c r="H151" s="28"/>
      <c r="I151" s="27" t="s">
        <v>115</v>
      </c>
    </row>
    <row r="152" spans="1:9" s="11" customFormat="1">
      <c r="A152" s="26"/>
      <c r="B152" s="27"/>
      <c r="C152" s="27">
        <v>4</v>
      </c>
      <c r="D152" s="27">
        <v>4</v>
      </c>
      <c r="E152" s="27">
        <v>276</v>
      </c>
      <c r="F152" s="27">
        <v>1</v>
      </c>
      <c r="G152" s="28"/>
      <c r="H152" s="28"/>
      <c r="I152" s="27" t="s">
        <v>115</v>
      </c>
    </row>
    <row r="153" spans="1:9" s="11" customFormat="1">
      <c r="A153" s="26"/>
      <c r="B153" s="27"/>
      <c r="C153" s="27">
        <v>4</v>
      </c>
      <c r="D153" s="27">
        <v>4</v>
      </c>
      <c r="E153" s="17">
        <v>284</v>
      </c>
      <c r="F153" s="17">
        <v>1</v>
      </c>
      <c r="G153" s="17"/>
      <c r="H153" s="17"/>
      <c r="I153" s="27" t="s">
        <v>115</v>
      </c>
    </row>
    <row r="154" spans="1:9" s="11" customFormat="1">
      <c r="A154" s="26"/>
      <c r="B154" s="27"/>
      <c r="C154" s="27">
        <v>4</v>
      </c>
      <c r="D154" s="27">
        <v>4</v>
      </c>
      <c r="E154" s="17">
        <v>323</v>
      </c>
      <c r="F154" s="17">
        <v>4</v>
      </c>
      <c r="G154" s="17"/>
      <c r="H154" s="17"/>
      <c r="I154" s="27" t="s">
        <v>115</v>
      </c>
    </row>
    <row r="155" spans="1:9" s="11" customFormat="1">
      <c r="A155" s="26"/>
      <c r="B155" s="27"/>
      <c r="C155" s="27">
        <v>4</v>
      </c>
      <c r="D155" s="27">
        <v>4</v>
      </c>
      <c r="E155" s="17">
        <v>292</v>
      </c>
      <c r="F155" s="17">
        <v>2</v>
      </c>
      <c r="G155" s="17"/>
      <c r="H155" s="17"/>
      <c r="I155" s="27" t="s">
        <v>115</v>
      </c>
    </row>
    <row r="156" spans="1:9" s="11" customFormat="1">
      <c r="A156" s="26"/>
      <c r="B156" s="27"/>
      <c r="C156" s="27">
        <v>4</v>
      </c>
      <c r="D156" s="27">
        <v>8</v>
      </c>
      <c r="E156" s="17">
        <v>301</v>
      </c>
      <c r="F156" s="17">
        <v>2</v>
      </c>
      <c r="G156" s="17"/>
      <c r="H156" s="17"/>
      <c r="I156" s="27" t="s">
        <v>121</v>
      </c>
    </row>
    <row r="157" spans="1:9" s="11" customFormat="1">
      <c r="A157" s="26"/>
      <c r="B157" s="27"/>
      <c r="C157" s="27">
        <v>4</v>
      </c>
      <c r="D157" s="27">
        <v>8</v>
      </c>
      <c r="E157" s="17">
        <f>276*2</f>
        <v>552</v>
      </c>
      <c r="F157" s="17">
        <v>1</v>
      </c>
      <c r="G157" s="17"/>
      <c r="H157" s="17"/>
      <c r="I157" s="27" t="s">
        <v>122</v>
      </c>
    </row>
    <row r="158" spans="1:9" s="11" customFormat="1">
      <c r="A158" s="26"/>
      <c r="B158" s="27"/>
      <c r="C158" s="27">
        <v>4</v>
      </c>
      <c r="D158" s="27">
        <v>8</v>
      </c>
      <c r="E158" s="17">
        <v>293</v>
      </c>
      <c r="F158" s="17">
        <v>4</v>
      </c>
      <c r="G158" s="17"/>
      <c r="H158" s="17"/>
      <c r="I158" s="27" t="s">
        <v>123</v>
      </c>
    </row>
    <row r="159" spans="1:9" s="11" customFormat="1">
      <c r="A159" s="26"/>
      <c r="B159" s="27"/>
      <c r="C159" s="27">
        <v>4</v>
      </c>
      <c r="D159" s="27">
        <v>4</v>
      </c>
      <c r="E159" s="17">
        <v>89</v>
      </c>
      <c r="F159" s="17">
        <v>8</v>
      </c>
      <c r="G159" s="17"/>
      <c r="H159" s="17"/>
      <c r="I159" s="27" t="s">
        <v>123</v>
      </c>
    </row>
    <row r="160" spans="1:9" s="11" customFormat="1">
      <c r="A160" s="26"/>
      <c r="B160" s="27"/>
      <c r="C160" s="27">
        <v>4</v>
      </c>
      <c r="D160" s="27">
        <v>4</v>
      </c>
      <c r="E160" s="17">
        <v>293</v>
      </c>
      <c r="F160" s="17">
        <v>8</v>
      </c>
      <c r="G160" s="17"/>
      <c r="H160" s="17"/>
      <c r="I160" s="27" t="s">
        <v>123</v>
      </c>
    </row>
    <row r="161" spans="1:9" s="11" customFormat="1">
      <c r="A161" s="26"/>
      <c r="B161" s="27"/>
      <c r="C161" s="27">
        <v>4</v>
      </c>
      <c r="D161" s="27">
        <v>8</v>
      </c>
      <c r="E161" s="17">
        <v>79</v>
      </c>
      <c r="F161" s="17">
        <v>2</v>
      </c>
      <c r="G161" s="17"/>
      <c r="H161" s="17"/>
      <c r="I161" s="27" t="s">
        <v>129</v>
      </c>
    </row>
    <row r="162" spans="1:9" s="11" customFormat="1">
      <c r="A162" s="26"/>
      <c r="B162" s="27"/>
      <c r="C162" s="27">
        <v>4</v>
      </c>
      <c r="D162" s="27">
        <v>4</v>
      </c>
      <c r="E162" s="17">
        <v>89</v>
      </c>
      <c r="F162" s="17">
        <v>4</v>
      </c>
      <c r="G162" s="17"/>
      <c r="H162" s="17"/>
      <c r="I162" s="27" t="s">
        <v>130</v>
      </c>
    </row>
    <row r="163" spans="1:9" s="11" customFormat="1">
      <c r="A163" s="26"/>
      <c r="B163" s="27"/>
      <c r="C163" s="27">
        <v>4</v>
      </c>
      <c r="D163" s="27">
        <v>4</v>
      </c>
      <c r="E163" s="17">
        <v>79</v>
      </c>
      <c r="F163" s="17">
        <v>2</v>
      </c>
      <c r="G163" s="17"/>
      <c r="H163" s="17"/>
      <c r="I163" s="27" t="s">
        <v>130</v>
      </c>
    </row>
    <row r="164" spans="1:9" s="11" customFormat="1">
      <c r="A164" s="26" t="s">
        <v>245</v>
      </c>
      <c r="B164" s="27" t="s">
        <v>132</v>
      </c>
      <c r="C164" s="27">
        <v>4</v>
      </c>
      <c r="D164" s="27">
        <v>8</v>
      </c>
      <c r="E164" s="17">
        <v>89</v>
      </c>
      <c r="F164" s="17">
        <v>4</v>
      </c>
      <c r="G164" s="17"/>
      <c r="H164" s="17"/>
      <c r="I164" s="27" t="s">
        <v>124</v>
      </c>
    </row>
    <row r="165" spans="1:9" s="11" customFormat="1">
      <c r="A165" s="26"/>
      <c r="B165" s="27"/>
      <c r="C165" s="27">
        <v>4</v>
      </c>
      <c r="D165" s="27">
        <v>8</v>
      </c>
      <c r="E165" s="17">
        <v>105</v>
      </c>
      <c r="F165" s="17">
        <v>4</v>
      </c>
      <c r="G165" s="17"/>
      <c r="H165" s="17"/>
      <c r="I165" s="27" t="s">
        <v>124</v>
      </c>
    </row>
    <row r="166" spans="1:9" s="11" customFormat="1">
      <c r="A166" s="26"/>
      <c r="B166" s="27"/>
      <c r="C166" s="27">
        <v>4</v>
      </c>
      <c r="D166" s="27">
        <v>8</v>
      </c>
      <c r="E166" s="17">
        <v>202</v>
      </c>
      <c r="F166" s="17">
        <v>4</v>
      </c>
      <c r="G166" s="17"/>
      <c r="H166" s="17"/>
      <c r="I166" s="27" t="s">
        <v>124</v>
      </c>
    </row>
    <row r="167" spans="1:9" s="11" customFormat="1">
      <c r="A167" s="26"/>
      <c r="B167" s="27"/>
      <c r="C167" s="27"/>
      <c r="D167" s="27"/>
      <c r="E167" s="17">
        <v>210</v>
      </c>
      <c r="F167" s="17">
        <v>1</v>
      </c>
      <c r="G167" s="17"/>
      <c r="H167" s="17"/>
      <c r="I167" s="27" t="s">
        <v>126</v>
      </c>
    </row>
    <row r="168" spans="1:9" s="11" customFormat="1">
      <c r="A168" s="26"/>
      <c r="B168" s="27"/>
      <c r="C168" s="27">
        <v>5</v>
      </c>
      <c r="D168" s="27">
        <v>50</v>
      </c>
      <c r="E168" s="17">
        <v>210</v>
      </c>
      <c r="F168" s="17">
        <v>1</v>
      </c>
      <c r="G168" s="17"/>
      <c r="H168" s="17"/>
      <c r="I168" s="27" t="s">
        <v>127</v>
      </c>
    </row>
    <row r="169" spans="1:9" s="11" customFormat="1">
      <c r="A169" s="26"/>
      <c r="B169" s="27"/>
      <c r="C169" s="27">
        <v>5</v>
      </c>
      <c r="D169" s="27">
        <v>50</v>
      </c>
      <c r="E169" s="17">
        <v>114</v>
      </c>
      <c r="F169" s="17">
        <v>1</v>
      </c>
      <c r="G169" s="17"/>
      <c r="H169" s="17"/>
      <c r="I169" s="27" t="s">
        <v>128</v>
      </c>
    </row>
    <row r="170" spans="1:9" s="11" customFormat="1">
      <c r="A170" s="26"/>
      <c r="B170" s="27"/>
      <c r="C170" s="27">
        <v>93</v>
      </c>
      <c r="D170" s="27">
        <v>66</v>
      </c>
      <c r="E170" s="17"/>
      <c r="F170" s="17">
        <v>3</v>
      </c>
      <c r="G170" s="17"/>
      <c r="H170" s="17">
        <f>C170*D170*F170/10000</f>
        <v>1.8413999999999999</v>
      </c>
      <c r="I170" s="27" t="s">
        <v>125</v>
      </c>
    </row>
    <row r="171" spans="1:9" s="11" customFormat="1">
      <c r="A171" s="26" t="s">
        <v>246</v>
      </c>
      <c r="B171" s="27" t="s">
        <v>117</v>
      </c>
      <c r="C171" s="27">
        <v>292</v>
      </c>
      <c r="D171" s="27">
        <v>301</v>
      </c>
      <c r="E171" s="17"/>
      <c r="F171" s="17">
        <v>2</v>
      </c>
      <c r="G171" s="17"/>
      <c r="H171" s="17">
        <f>D171*C171*F171/10000</f>
        <v>17.578399999999998</v>
      </c>
      <c r="I171" s="27" t="s">
        <v>116</v>
      </c>
    </row>
    <row r="172" spans="1:9" s="11" customFormat="1">
      <c r="A172" s="26"/>
      <c r="B172" s="27"/>
      <c r="C172" s="27">
        <v>280</v>
      </c>
      <c r="D172" s="27">
        <v>301</v>
      </c>
      <c r="E172" s="17"/>
      <c r="F172" s="17">
        <v>2</v>
      </c>
      <c r="G172" s="17"/>
      <c r="H172" s="17">
        <f>D172*C172*F172/10000</f>
        <v>16.856000000000002</v>
      </c>
      <c r="I172" s="27" t="s">
        <v>116</v>
      </c>
    </row>
    <row r="173" spans="1:9" s="11" customFormat="1">
      <c r="A173" s="26"/>
      <c r="B173" s="27"/>
      <c r="C173" s="27">
        <v>89</v>
      </c>
      <c r="D173" s="27">
        <v>87</v>
      </c>
      <c r="E173" s="17"/>
      <c r="F173" s="17">
        <v>1</v>
      </c>
      <c r="G173" s="17"/>
      <c r="H173" s="17">
        <f>C173*D173*F173/10000</f>
        <v>0.77429999999999999</v>
      </c>
      <c r="I173" s="27" t="s">
        <v>131</v>
      </c>
    </row>
    <row r="174" spans="1:9" s="11" customFormat="1">
      <c r="A174" s="26" t="s">
        <v>247</v>
      </c>
      <c r="B174" s="27" t="s">
        <v>118</v>
      </c>
      <c r="C174" s="27">
        <v>40</v>
      </c>
      <c r="D174" s="27">
        <v>2</v>
      </c>
      <c r="E174" s="17">
        <v>250</v>
      </c>
      <c r="F174" s="17">
        <v>6</v>
      </c>
      <c r="G174" s="17"/>
      <c r="H174" s="17">
        <f>C174*E174*F174/10000</f>
        <v>6</v>
      </c>
      <c r="I174" s="27" t="s">
        <v>119</v>
      </c>
    </row>
    <row r="175" spans="1:9" s="11" customFormat="1">
      <c r="A175" s="26"/>
      <c r="B175" s="27"/>
      <c r="C175" s="27">
        <v>40</v>
      </c>
      <c r="D175" s="27">
        <v>2</v>
      </c>
      <c r="E175" s="17">
        <v>290</v>
      </c>
      <c r="F175" s="17">
        <v>4</v>
      </c>
      <c r="G175" s="17"/>
      <c r="H175" s="17">
        <f>C175*E175*F175/10000</f>
        <v>4.6399999999999997</v>
      </c>
      <c r="I175" s="27" t="s">
        <v>119</v>
      </c>
    </row>
    <row r="176" spans="1:9" s="11" customFormat="1">
      <c r="A176" s="26"/>
      <c r="B176" s="27"/>
      <c r="C176" s="27">
        <v>4</v>
      </c>
      <c r="D176" s="27">
        <v>4</v>
      </c>
      <c r="E176" s="17">
        <v>228</v>
      </c>
      <c r="F176" s="17">
        <v>22</v>
      </c>
      <c r="G176" s="28">
        <f t="shared" ref="G176" si="98">ROUND((C176*D176*E176)*F176/1000000,3)</f>
        <v>0.08</v>
      </c>
      <c r="H176" s="28">
        <f t="shared" ref="H176" si="99">F176*(2*C176*E176+2*D176*E176+2*C176*D176)/10000</f>
        <v>8.0960000000000001</v>
      </c>
      <c r="I176" s="27" t="s">
        <v>120</v>
      </c>
    </row>
    <row r="177" spans="1:9" s="4" customFormat="1" ht="30">
      <c r="A177" s="24" t="s">
        <v>335</v>
      </c>
      <c r="B177" s="24" t="s">
        <v>336</v>
      </c>
      <c r="C177" s="22"/>
      <c r="D177" s="22"/>
      <c r="E177" s="18"/>
      <c r="F177" s="25"/>
      <c r="G177" s="25"/>
      <c r="H177" s="19"/>
      <c r="I177" s="22"/>
    </row>
    <row r="178" spans="1:9" s="4" customFormat="1" ht="15">
      <c r="A178" s="24"/>
      <c r="B178" s="24"/>
      <c r="C178" s="22"/>
      <c r="D178" s="22"/>
      <c r="E178" s="18"/>
      <c r="F178" s="18">
        <v>6</v>
      </c>
      <c r="G178" s="19" t="s">
        <v>326</v>
      </c>
      <c r="H178" s="19"/>
      <c r="I178" s="22"/>
    </row>
    <row r="179" spans="1:9" s="4" customFormat="1" ht="18">
      <c r="A179" s="34" t="s">
        <v>191</v>
      </c>
      <c r="B179" s="21" t="s">
        <v>8</v>
      </c>
      <c r="C179" s="22"/>
      <c r="D179" s="22"/>
      <c r="E179" s="18"/>
      <c r="F179" s="18"/>
      <c r="G179" s="19"/>
      <c r="H179" s="19"/>
      <c r="I179" s="22"/>
    </row>
    <row r="180" spans="1:9" s="4" customFormat="1" ht="45">
      <c r="A180" s="23" t="s">
        <v>192</v>
      </c>
      <c r="B180" s="24" t="s">
        <v>32</v>
      </c>
      <c r="C180" s="25"/>
      <c r="D180" s="25"/>
      <c r="E180" s="25"/>
      <c r="F180" s="25"/>
      <c r="G180" s="25"/>
      <c r="H180" s="25"/>
      <c r="I180" s="22"/>
    </row>
    <row r="181" spans="1:9" s="4" customFormat="1" ht="24">
      <c r="A181" s="25"/>
      <c r="B181" s="22"/>
      <c r="C181" s="22">
        <v>8</v>
      </c>
      <c r="D181" s="22">
        <v>4</v>
      </c>
      <c r="E181" s="22">
        <f>19*150</f>
        <v>2850</v>
      </c>
      <c r="F181" s="22">
        <v>16</v>
      </c>
      <c r="G181" s="19">
        <f t="shared" ref="G181" si="100">ROUND((C181*D181*E181)*F181/1000000,3)</f>
        <v>1.4590000000000001</v>
      </c>
      <c r="H181" s="19">
        <f t="shared" ref="H181" si="101">F181*(2*C181*E181+2*D181*E181+2*C181*D181)/10000</f>
        <v>109.5424</v>
      </c>
      <c r="I181" s="22" t="s">
        <v>83</v>
      </c>
    </row>
    <row r="182" spans="1:9" s="4" customFormat="1" ht="30">
      <c r="A182" s="23" t="s">
        <v>193</v>
      </c>
      <c r="B182" s="24" t="s">
        <v>133</v>
      </c>
      <c r="C182" s="22"/>
      <c r="D182" s="22"/>
      <c r="E182" s="18"/>
      <c r="F182" s="18"/>
      <c r="G182" s="19"/>
      <c r="H182" s="19"/>
      <c r="I182" s="22"/>
    </row>
    <row r="183" spans="1:9" s="13" customFormat="1">
      <c r="A183" s="32" t="s">
        <v>248</v>
      </c>
      <c r="B183" s="31" t="s">
        <v>3</v>
      </c>
      <c r="C183" s="31"/>
      <c r="D183" s="31"/>
      <c r="E183" s="31"/>
      <c r="F183" s="31"/>
      <c r="G183" s="33"/>
      <c r="H183" s="33"/>
      <c r="I183" s="31"/>
    </row>
    <row r="184" spans="1:9" s="13" customFormat="1">
      <c r="A184" s="32"/>
      <c r="B184" s="31"/>
      <c r="C184" s="31">
        <v>8</v>
      </c>
      <c r="D184" s="31">
        <v>16</v>
      </c>
      <c r="E184" s="31">
        <v>380</v>
      </c>
      <c r="F184" s="31">
        <v>9</v>
      </c>
      <c r="G184" s="33">
        <f t="shared" ref="G184" si="102">ROUND((C184*D184*E184)*F184/1000000,3)</f>
        <v>0.438</v>
      </c>
      <c r="H184" s="33">
        <f t="shared" ref="H184" si="103">F184*(2*C184*E184+2*D184*E184+2*C184*D184)/10000</f>
        <v>16.6464</v>
      </c>
      <c r="I184" s="31" t="s">
        <v>72</v>
      </c>
    </row>
    <row r="185" spans="1:9" s="13" customFormat="1">
      <c r="A185" s="32"/>
      <c r="B185" s="31"/>
      <c r="C185" s="31"/>
      <c r="D185" s="31"/>
      <c r="E185" s="31"/>
      <c r="F185" s="31">
        <f>F184+F183</f>
        <v>9</v>
      </c>
      <c r="G185" s="33"/>
      <c r="H185" s="33"/>
      <c r="I185" s="31" t="s">
        <v>63</v>
      </c>
    </row>
    <row r="186" spans="1:9" s="13" customFormat="1">
      <c r="A186" s="32"/>
      <c r="B186" s="31"/>
      <c r="C186" s="31">
        <v>8</v>
      </c>
      <c r="D186" s="31">
        <v>30</v>
      </c>
      <c r="E186" s="31">
        <v>300</v>
      </c>
      <c r="F186" s="31">
        <v>1</v>
      </c>
      <c r="G186" s="33">
        <f t="shared" ref="G186:G198" si="104">ROUND((C186*D186*E186)*F186/1000000,3)</f>
        <v>7.1999999999999995E-2</v>
      </c>
      <c r="H186" s="33">
        <f t="shared" ref="H186:H198" si="105">F186*(2*C186*E186+2*D186*E186+2*C186*D186)/10000</f>
        <v>2.3279999999999998</v>
      </c>
      <c r="I186" s="31" t="s">
        <v>20</v>
      </c>
    </row>
    <row r="187" spans="1:9" s="13" customFormat="1">
      <c r="A187" s="32"/>
      <c r="B187" s="31"/>
      <c r="C187" s="31">
        <v>8</v>
      </c>
      <c r="D187" s="31">
        <v>30</v>
      </c>
      <c r="E187" s="31">
        <v>592</v>
      </c>
      <c r="F187" s="31">
        <v>2</v>
      </c>
      <c r="G187" s="33">
        <f t="shared" si="104"/>
        <v>0.28399999999999997</v>
      </c>
      <c r="H187" s="33">
        <f t="shared" si="105"/>
        <v>9.0944000000000003</v>
      </c>
      <c r="I187" s="31" t="s">
        <v>20</v>
      </c>
    </row>
    <row r="188" spans="1:9" s="13" customFormat="1">
      <c r="A188" s="32"/>
      <c r="B188" s="31"/>
      <c r="C188" s="31">
        <v>8</v>
      </c>
      <c r="D188" s="31">
        <v>30</v>
      </c>
      <c r="E188" s="31">
        <v>308</v>
      </c>
      <c r="F188" s="31">
        <v>1</v>
      </c>
      <c r="G188" s="33">
        <f t="shared" si="104"/>
        <v>7.3999999999999996E-2</v>
      </c>
      <c r="H188" s="33">
        <f t="shared" si="105"/>
        <v>2.3887999999999998</v>
      </c>
      <c r="I188" s="31" t="s">
        <v>20</v>
      </c>
    </row>
    <row r="189" spans="1:9" s="13" customFormat="1" ht="24">
      <c r="A189" s="32"/>
      <c r="B189" s="31"/>
      <c r="C189" s="31">
        <v>4</v>
      </c>
      <c r="D189" s="31">
        <v>8</v>
      </c>
      <c r="E189" s="31">
        <f>292*3</f>
        <v>876</v>
      </c>
      <c r="F189" s="31">
        <v>11</v>
      </c>
      <c r="G189" s="33">
        <f t="shared" si="104"/>
        <v>0.308</v>
      </c>
      <c r="H189" s="33">
        <f t="shared" si="105"/>
        <v>23.1968</v>
      </c>
      <c r="I189" s="31" t="s">
        <v>95</v>
      </c>
    </row>
    <row r="190" spans="1:9" s="13" customFormat="1">
      <c r="A190" s="32"/>
      <c r="B190" s="31"/>
      <c r="C190" s="31">
        <v>4</v>
      </c>
      <c r="D190" s="31">
        <v>8</v>
      </c>
      <c r="E190" s="31">
        <v>271</v>
      </c>
      <c r="F190" s="31">
        <v>2</v>
      </c>
      <c r="G190" s="33">
        <f t="shared" si="104"/>
        <v>1.7000000000000001E-2</v>
      </c>
      <c r="H190" s="33">
        <f t="shared" si="105"/>
        <v>1.3136000000000001</v>
      </c>
      <c r="I190" s="31" t="s">
        <v>4</v>
      </c>
    </row>
    <row r="191" spans="1:9" s="13" customFormat="1">
      <c r="A191" s="32"/>
      <c r="B191" s="31"/>
      <c r="C191" s="31">
        <v>4</v>
      </c>
      <c r="D191" s="31">
        <v>8</v>
      </c>
      <c r="E191" s="31">
        <v>284</v>
      </c>
      <c r="F191" s="31">
        <v>1</v>
      </c>
      <c r="G191" s="33">
        <f t="shared" si="104"/>
        <v>8.9999999999999993E-3</v>
      </c>
      <c r="H191" s="33">
        <f t="shared" si="105"/>
        <v>0.68799999999999994</v>
      </c>
      <c r="I191" s="31" t="s">
        <v>4</v>
      </c>
    </row>
    <row r="192" spans="1:9" s="11" customFormat="1">
      <c r="A192" s="26" t="s">
        <v>249</v>
      </c>
      <c r="B192" s="27" t="s">
        <v>98</v>
      </c>
      <c r="C192" s="27">
        <v>4</v>
      </c>
      <c r="D192" s="27">
        <v>8</v>
      </c>
      <c r="E192" s="27">
        <v>608</v>
      </c>
      <c r="F192" s="27">
        <v>31</v>
      </c>
      <c r="G192" s="28">
        <f t="shared" si="104"/>
        <v>0.60299999999999998</v>
      </c>
      <c r="H192" s="28">
        <f t="shared" si="105"/>
        <v>45.433599999999998</v>
      </c>
      <c r="I192" s="27" t="s">
        <v>99</v>
      </c>
    </row>
    <row r="193" spans="1:9" s="11" customFormat="1">
      <c r="A193" s="26" t="s">
        <v>250</v>
      </c>
      <c r="B193" s="27" t="s">
        <v>70</v>
      </c>
      <c r="C193" s="27">
        <v>4</v>
      </c>
      <c r="D193" s="27">
        <v>8</v>
      </c>
      <c r="E193" s="27">
        <v>141</v>
      </c>
      <c r="F193" s="27">
        <f>10+30+19+19</f>
        <v>78</v>
      </c>
      <c r="G193" s="28">
        <f t="shared" si="104"/>
        <v>0.35199999999999998</v>
      </c>
      <c r="H193" s="28">
        <f t="shared" si="105"/>
        <v>26.894400000000001</v>
      </c>
      <c r="I193" s="27" t="s">
        <v>70</v>
      </c>
    </row>
    <row r="194" spans="1:9" s="11" customFormat="1">
      <c r="A194" s="26"/>
      <c r="B194" s="27"/>
      <c r="C194" s="27">
        <v>8</v>
      </c>
      <c r="D194" s="27">
        <v>4</v>
      </c>
      <c r="E194" s="27">
        <v>309</v>
      </c>
      <c r="F194" s="27">
        <v>1</v>
      </c>
      <c r="G194" s="28">
        <f t="shared" si="104"/>
        <v>0.01</v>
      </c>
      <c r="H194" s="28">
        <f t="shared" si="105"/>
        <v>0.748</v>
      </c>
      <c r="I194" s="27" t="s">
        <v>101</v>
      </c>
    </row>
    <row r="195" spans="1:9" s="11" customFormat="1">
      <c r="A195" s="26"/>
      <c r="B195" s="27"/>
      <c r="C195" s="27">
        <v>8</v>
      </c>
      <c r="D195" s="27">
        <v>4</v>
      </c>
      <c r="E195" s="27">
        <v>153</v>
      </c>
      <c r="F195" s="27">
        <v>2</v>
      </c>
      <c r="G195" s="28">
        <f t="shared" ref="G195:G197" si="106">ROUND((C195*D195*E195)*F195/1000000,3)</f>
        <v>0.01</v>
      </c>
      <c r="H195" s="28">
        <f t="shared" ref="H195:H197" si="107">F195*(2*C195*E195+2*D195*E195+2*C195*D195)/10000</f>
        <v>0.74719999999999998</v>
      </c>
      <c r="I195" s="27" t="s">
        <v>101</v>
      </c>
    </row>
    <row r="196" spans="1:9" s="11" customFormat="1">
      <c r="A196" s="26"/>
      <c r="B196" s="27"/>
      <c r="C196" s="27">
        <v>8</v>
      </c>
      <c r="D196" s="27">
        <v>4</v>
      </c>
      <c r="E196" s="27">
        <v>23</v>
      </c>
      <c r="F196" s="27">
        <v>3</v>
      </c>
      <c r="G196" s="28">
        <f t="shared" si="106"/>
        <v>2E-3</v>
      </c>
      <c r="H196" s="28">
        <f t="shared" si="107"/>
        <v>0.18479999999999999</v>
      </c>
      <c r="I196" s="27" t="s">
        <v>101</v>
      </c>
    </row>
    <row r="197" spans="1:9" s="11" customFormat="1">
      <c r="A197" s="26"/>
      <c r="B197" s="27"/>
      <c r="C197" s="27">
        <v>8</v>
      </c>
      <c r="D197" s="27">
        <v>4</v>
      </c>
      <c r="E197" s="27">
        <v>441</v>
      </c>
      <c r="F197" s="27">
        <v>4</v>
      </c>
      <c r="G197" s="28">
        <f t="shared" si="106"/>
        <v>5.6000000000000001E-2</v>
      </c>
      <c r="H197" s="28">
        <f t="shared" si="107"/>
        <v>4.2591999999999999</v>
      </c>
      <c r="I197" s="27" t="s">
        <v>101</v>
      </c>
    </row>
    <row r="198" spans="1:9" s="11" customFormat="1">
      <c r="A198" s="26"/>
      <c r="B198" s="27"/>
      <c r="C198" s="27">
        <v>8</v>
      </c>
      <c r="D198" s="27">
        <v>4</v>
      </c>
      <c r="E198" s="27">
        <v>306</v>
      </c>
      <c r="F198" s="27">
        <v>1</v>
      </c>
      <c r="G198" s="28">
        <f t="shared" si="104"/>
        <v>0.01</v>
      </c>
      <c r="H198" s="28">
        <f t="shared" si="105"/>
        <v>0.74080000000000001</v>
      </c>
      <c r="I198" s="27" t="s">
        <v>101</v>
      </c>
    </row>
    <row r="199" spans="1:9" s="13" customFormat="1">
      <c r="A199" s="32" t="s">
        <v>252</v>
      </c>
      <c r="B199" s="31" t="s">
        <v>135</v>
      </c>
      <c r="C199" s="31">
        <v>4</v>
      </c>
      <c r="D199" s="31">
        <v>8</v>
      </c>
      <c r="E199" s="31">
        <v>288</v>
      </c>
      <c r="F199" s="31">
        <v>19</v>
      </c>
      <c r="G199" s="33">
        <f>ROUND((C199*D199*E199)*F199/1000000,3)</f>
        <v>0.17499999999999999</v>
      </c>
      <c r="H199" s="33">
        <f>F199*(2*C199*E199+2*D199*E199+2*C199*D199)/10000</f>
        <v>13.2544</v>
      </c>
      <c r="I199" s="31" t="s">
        <v>102</v>
      </c>
    </row>
    <row r="200" spans="1:9" s="13" customFormat="1">
      <c r="A200" s="32"/>
      <c r="B200" s="31"/>
      <c r="C200" s="31">
        <v>5</v>
      </c>
      <c r="D200" s="31">
        <v>20</v>
      </c>
      <c r="E200" s="31">
        <v>908</v>
      </c>
      <c r="F200" s="31"/>
      <c r="G200" s="33"/>
      <c r="H200" s="33"/>
      <c r="I200" s="31" t="s">
        <v>134</v>
      </c>
    </row>
    <row r="201" spans="1:9" s="4" customFormat="1">
      <c r="A201" s="25"/>
      <c r="B201" s="22"/>
      <c r="C201" s="22">
        <v>288</v>
      </c>
      <c r="D201" s="22">
        <v>4</v>
      </c>
      <c r="E201" s="22">
        <v>900</v>
      </c>
      <c r="F201" s="22">
        <v>1</v>
      </c>
      <c r="G201" s="19"/>
      <c r="H201" s="19">
        <f>C201*E201*F201/10000</f>
        <v>25.92</v>
      </c>
      <c r="I201" s="22" t="s">
        <v>108</v>
      </c>
    </row>
    <row r="202" spans="1:9" s="11" customFormat="1" ht="24">
      <c r="A202" s="26" t="s">
        <v>253</v>
      </c>
      <c r="B202" s="27" t="s">
        <v>110</v>
      </c>
      <c r="C202" s="27">
        <v>4</v>
      </c>
      <c r="D202" s="27">
        <v>8</v>
      </c>
      <c r="E202" s="27">
        <v>301</v>
      </c>
      <c r="F202" s="27">
        <f>19+14</f>
        <v>33</v>
      </c>
      <c r="G202" s="28">
        <f t="shared" ref="G202" si="108">ROUND((C202*D202*E202)*F202/1000000,3)</f>
        <v>0.318</v>
      </c>
      <c r="H202" s="28">
        <f t="shared" ref="H202" si="109">F202*(2*C202*E202+2*D202*E202+2*C202*D202)/10000</f>
        <v>24.0504</v>
      </c>
      <c r="I202" s="27" t="s">
        <v>109</v>
      </c>
    </row>
    <row r="203" spans="1:9" s="13" customFormat="1">
      <c r="A203" s="32" t="s">
        <v>254</v>
      </c>
      <c r="B203" s="31" t="s">
        <v>144</v>
      </c>
      <c r="C203" s="31">
        <v>2</v>
      </c>
      <c r="D203" s="31">
        <v>296</v>
      </c>
      <c r="E203" s="31">
        <v>292</v>
      </c>
      <c r="F203" s="31"/>
      <c r="G203" s="33"/>
      <c r="H203" s="33">
        <f>D203*E203/10000</f>
        <v>8.6432000000000002</v>
      </c>
      <c r="I203" s="31"/>
    </row>
    <row r="204" spans="1:9" s="4" customFormat="1" ht="30">
      <c r="A204" s="23" t="s">
        <v>194</v>
      </c>
      <c r="B204" s="24" t="s">
        <v>136</v>
      </c>
      <c r="C204" s="22"/>
      <c r="D204" s="22"/>
      <c r="E204" s="22"/>
      <c r="F204" s="22"/>
      <c r="G204" s="19"/>
      <c r="H204" s="19"/>
      <c r="I204" s="22"/>
    </row>
    <row r="205" spans="1:9" s="13" customFormat="1">
      <c r="A205" s="32" t="s">
        <v>255</v>
      </c>
      <c r="B205" s="31" t="s">
        <v>3</v>
      </c>
      <c r="C205" s="31">
        <v>8</v>
      </c>
      <c r="D205" s="31">
        <v>16</v>
      </c>
      <c r="E205" s="31">
        <v>224</v>
      </c>
      <c r="F205" s="31">
        <v>6</v>
      </c>
      <c r="G205" s="33">
        <f t="shared" ref="G205" si="110">ROUND((C205*D205*E205)*F205/1000000,3)</f>
        <v>0.17199999999999999</v>
      </c>
      <c r="H205" s="33">
        <f t="shared" ref="H205" si="111">F205*(2*C205*E205+2*D205*E205+2*C205*D205)/10000</f>
        <v>6.6048</v>
      </c>
      <c r="I205" s="31" t="s">
        <v>72</v>
      </c>
    </row>
    <row r="206" spans="1:9" s="13" customFormat="1">
      <c r="A206" s="32"/>
      <c r="B206" s="31"/>
      <c r="C206" s="31">
        <v>8</v>
      </c>
      <c r="D206" s="31">
        <v>16</v>
      </c>
      <c r="E206" s="31">
        <v>60</v>
      </c>
      <c r="F206" s="31">
        <v>2</v>
      </c>
      <c r="G206" s="33">
        <f t="shared" ref="G206" si="112">ROUND((C206*D206*E206)*F206/1000000,3)</f>
        <v>1.4999999999999999E-2</v>
      </c>
      <c r="H206" s="33">
        <f t="shared" ref="H206" si="113">F206*(2*C206*E206+2*D206*E206+2*C206*D206)/10000</f>
        <v>0.62719999999999998</v>
      </c>
      <c r="I206" s="31" t="s">
        <v>72</v>
      </c>
    </row>
    <row r="207" spans="1:9" s="13" customFormat="1">
      <c r="A207" s="32"/>
      <c r="B207" s="31"/>
      <c r="C207" s="31"/>
      <c r="D207" s="31"/>
      <c r="E207" s="31"/>
      <c r="F207" s="31">
        <f>SUM(F205:F206)</f>
        <v>8</v>
      </c>
      <c r="G207" s="33"/>
      <c r="H207" s="33"/>
      <c r="I207" s="31" t="s">
        <v>63</v>
      </c>
    </row>
    <row r="208" spans="1:9" s="13" customFormat="1">
      <c r="A208" s="32"/>
      <c r="B208" s="31"/>
      <c r="C208" s="31">
        <v>5</v>
      </c>
      <c r="D208" s="31">
        <v>20</v>
      </c>
      <c r="E208" s="31">
        <v>130</v>
      </c>
      <c r="F208" s="31">
        <v>4</v>
      </c>
      <c r="G208" s="33">
        <f t="shared" ref="G208:G211" si="114">ROUND((C208*D208*E208)*F208/1000000,3)</f>
        <v>5.1999999999999998E-2</v>
      </c>
      <c r="H208" s="33">
        <f t="shared" ref="H208:H211" si="115">F208*(2*C208*E208+2*D208*E208+2*C208*D208)/10000</f>
        <v>2.68</v>
      </c>
      <c r="I208" s="31" t="s">
        <v>17</v>
      </c>
    </row>
    <row r="209" spans="1:9" s="13" customFormat="1">
      <c r="A209" s="32"/>
      <c r="B209" s="31"/>
      <c r="C209" s="31">
        <v>10</v>
      </c>
      <c r="D209" s="31">
        <v>20</v>
      </c>
      <c r="E209" s="31">
        <v>359</v>
      </c>
      <c r="F209" s="31">
        <v>8</v>
      </c>
      <c r="G209" s="33">
        <f t="shared" si="114"/>
        <v>0.57399999999999995</v>
      </c>
      <c r="H209" s="33">
        <f t="shared" si="115"/>
        <v>17.552</v>
      </c>
      <c r="I209" s="31" t="s">
        <v>139</v>
      </c>
    </row>
    <row r="210" spans="1:9" s="13" customFormat="1">
      <c r="A210" s="32"/>
      <c r="B210" s="31"/>
      <c r="C210" s="31">
        <v>5</v>
      </c>
      <c r="D210" s="31">
        <v>20</v>
      </c>
      <c r="E210" s="31">
        <v>273</v>
      </c>
      <c r="F210" s="31">
        <v>2</v>
      </c>
      <c r="G210" s="33">
        <f t="shared" si="114"/>
        <v>5.5E-2</v>
      </c>
      <c r="H210" s="33">
        <f t="shared" si="115"/>
        <v>2.77</v>
      </c>
      <c r="I210" s="31" t="s">
        <v>138</v>
      </c>
    </row>
    <row r="211" spans="1:9" s="13" customFormat="1">
      <c r="A211" s="32"/>
      <c r="B211" s="31"/>
      <c r="C211" s="31">
        <v>5</v>
      </c>
      <c r="D211" s="31">
        <v>20</v>
      </c>
      <c r="E211" s="31">
        <v>175</v>
      </c>
      <c r="F211" s="31">
        <v>2</v>
      </c>
      <c r="G211" s="33">
        <f t="shared" si="114"/>
        <v>3.5000000000000003E-2</v>
      </c>
      <c r="H211" s="33">
        <f t="shared" si="115"/>
        <v>1.79</v>
      </c>
      <c r="I211" s="31" t="s">
        <v>138</v>
      </c>
    </row>
    <row r="212" spans="1:9" s="13" customFormat="1" ht="24">
      <c r="A212" s="32"/>
      <c r="B212" s="31"/>
      <c r="C212" s="31">
        <v>4</v>
      </c>
      <c r="D212" s="31">
        <v>8</v>
      </c>
      <c r="E212" s="31">
        <f>175*3</f>
        <v>525</v>
      </c>
      <c r="F212" s="31">
        <v>4</v>
      </c>
      <c r="G212" s="33">
        <f t="shared" ref="G212" si="116">ROUND((C212*D212*E212)*F212/1000000,3)</f>
        <v>6.7000000000000004E-2</v>
      </c>
      <c r="H212" s="33">
        <f t="shared" ref="H212" si="117">F212*(2*C212*E212+2*D212*E212+2*C212*D212)/10000</f>
        <v>5.0655999999999999</v>
      </c>
      <c r="I212" s="31" t="s">
        <v>137</v>
      </c>
    </row>
    <row r="213" spans="1:9" s="11" customFormat="1">
      <c r="A213" s="26" t="s">
        <v>256</v>
      </c>
      <c r="B213" s="27" t="s">
        <v>140</v>
      </c>
      <c r="C213" s="27">
        <v>4</v>
      </c>
      <c r="D213" s="27">
        <v>8</v>
      </c>
      <c r="E213" s="27">
        <v>273</v>
      </c>
      <c r="F213" s="27">
        <v>21</v>
      </c>
      <c r="G213" s="28">
        <f t="shared" ref="G213:G215" si="118">ROUND((C213*D213*E213)*F213/1000000,3)</f>
        <v>0.183</v>
      </c>
      <c r="H213" s="28">
        <f t="shared" ref="H213:H215" si="119">F213*(2*C213*E213+2*D213*E213+2*C213*D213)/10000</f>
        <v>13.893599999999999</v>
      </c>
      <c r="I213" s="27" t="s">
        <v>141</v>
      </c>
    </row>
    <row r="214" spans="1:9" s="11" customFormat="1">
      <c r="A214" s="26"/>
      <c r="B214" s="27"/>
      <c r="C214" s="27">
        <v>4</v>
      </c>
      <c r="D214" s="27">
        <v>8</v>
      </c>
      <c r="E214" s="27">
        <v>130</v>
      </c>
      <c r="F214" s="27">
        <f>18*4</f>
        <v>72</v>
      </c>
      <c r="G214" s="28">
        <f t="shared" si="118"/>
        <v>0.3</v>
      </c>
      <c r="H214" s="28">
        <f t="shared" si="119"/>
        <v>22.924800000000001</v>
      </c>
      <c r="I214" s="27" t="s">
        <v>142</v>
      </c>
    </row>
    <row r="215" spans="1:9" s="11" customFormat="1" ht="24">
      <c r="A215" s="26"/>
      <c r="B215" s="27"/>
      <c r="C215" s="27">
        <v>4</v>
      </c>
      <c r="D215" s="27">
        <v>16.8</v>
      </c>
      <c r="E215" s="27">
        <v>35</v>
      </c>
      <c r="F215" s="27">
        <f>18</f>
        <v>18</v>
      </c>
      <c r="G215" s="26">
        <f t="shared" si="118"/>
        <v>4.2000000000000003E-2</v>
      </c>
      <c r="H215" s="26">
        <f t="shared" si="119"/>
        <v>2.8627199999999999</v>
      </c>
      <c r="I215" s="27" t="s">
        <v>143</v>
      </c>
    </row>
    <row r="216" spans="1:9" s="11" customFormat="1">
      <c r="A216" s="26" t="s">
        <v>257</v>
      </c>
      <c r="B216" s="27" t="s">
        <v>70</v>
      </c>
      <c r="C216" s="27">
        <v>4</v>
      </c>
      <c r="D216" s="27">
        <v>8</v>
      </c>
      <c r="E216" s="27">
        <v>279</v>
      </c>
      <c r="F216" s="27">
        <v>1</v>
      </c>
      <c r="G216" s="26">
        <f t="shared" ref="G216:G226" si="120">ROUND((C216*D216*E216)*F216/1000000,3)</f>
        <v>8.9999999999999993E-3</v>
      </c>
      <c r="H216" s="26">
        <f t="shared" ref="H216:H227" si="121">F216*(2*C216*E216+2*D216*E216+2*C216*D216)/10000</f>
        <v>0.67600000000000005</v>
      </c>
      <c r="I216" s="27" t="s">
        <v>101</v>
      </c>
    </row>
    <row r="217" spans="1:9" s="11" customFormat="1">
      <c r="A217" s="26"/>
      <c r="B217" s="27"/>
      <c r="C217" s="27">
        <v>4</v>
      </c>
      <c r="D217" s="27">
        <v>8</v>
      </c>
      <c r="E217" s="27">
        <v>355</v>
      </c>
      <c r="F217" s="27">
        <v>1</v>
      </c>
      <c r="G217" s="26">
        <f t="shared" si="120"/>
        <v>1.0999999999999999E-2</v>
      </c>
      <c r="H217" s="26">
        <f t="shared" si="121"/>
        <v>0.85840000000000005</v>
      </c>
      <c r="I217" s="27" t="s">
        <v>101</v>
      </c>
    </row>
    <row r="218" spans="1:9" s="11" customFormat="1">
      <c r="A218" s="26"/>
      <c r="B218" s="27"/>
      <c r="C218" s="27">
        <v>4</v>
      </c>
      <c r="D218" s="27">
        <v>8</v>
      </c>
      <c r="E218" s="27">
        <v>365</v>
      </c>
      <c r="F218" s="27">
        <v>2</v>
      </c>
      <c r="G218" s="26">
        <f t="shared" si="120"/>
        <v>2.3E-2</v>
      </c>
      <c r="H218" s="26">
        <f t="shared" si="121"/>
        <v>1.7647999999999999</v>
      </c>
      <c r="I218" s="27" t="s">
        <v>101</v>
      </c>
    </row>
    <row r="219" spans="1:9" s="11" customFormat="1">
      <c r="A219" s="26"/>
      <c r="B219" s="27"/>
      <c r="C219" s="27">
        <v>4</v>
      </c>
      <c r="D219" s="27">
        <v>8</v>
      </c>
      <c r="E219" s="27">
        <v>193</v>
      </c>
      <c r="F219" s="27">
        <v>1</v>
      </c>
      <c r="G219" s="26">
        <f t="shared" si="120"/>
        <v>6.0000000000000001E-3</v>
      </c>
      <c r="H219" s="26">
        <f t="shared" si="121"/>
        <v>0.46960000000000002</v>
      </c>
      <c r="I219" s="27" t="s">
        <v>101</v>
      </c>
    </row>
    <row r="220" spans="1:9" s="11" customFormat="1">
      <c r="A220" s="26"/>
      <c r="B220" s="27"/>
      <c r="C220" s="27">
        <v>4</v>
      </c>
      <c r="D220" s="27">
        <v>8</v>
      </c>
      <c r="E220" s="27">
        <v>346</v>
      </c>
      <c r="F220" s="27">
        <v>1</v>
      </c>
      <c r="G220" s="26">
        <f t="shared" si="120"/>
        <v>1.0999999999999999E-2</v>
      </c>
      <c r="H220" s="26">
        <f t="shared" si="121"/>
        <v>0.83679999999999999</v>
      </c>
      <c r="I220" s="27" t="s">
        <v>101</v>
      </c>
    </row>
    <row r="221" spans="1:9" s="11" customFormat="1">
      <c r="A221" s="26"/>
      <c r="B221" s="27"/>
      <c r="C221" s="27">
        <v>4</v>
      </c>
      <c r="D221" s="27">
        <v>8</v>
      </c>
      <c r="E221" s="27">
        <v>292</v>
      </c>
      <c r="F221" s="27">
        <f>18+12</f>
        <v>30</v>
      </c>
      <c r="G221" s="26">
        <f t="shared" si="120"/>
        <v>0.28000000000000003</v>
      </c>
      <c r="H221" s="26">
        <f t="shared" si="121"/>
        <v>21.216000000000001</v>
      </c>
      <c r="I221" s="27" t="s">
        <v>51</v>
      </c>
    </row>
    <row r="222" spans="1:9" s="11" customFormat="1">
      <c r="A222" s="26"/>
      <c r="B222" s="27"/>
      <c r="C222" s="27">
        <v>4</v>
      </c>
      <c r="D222" s="27">
        <v>8</v>
      </c>
      <c r="E222" s="27">
        <v>147</v>
      </c>
      <c r="F222" s="27">
        <v>19</v>
      </c>
      <c r="G222" s="26">
        <f t="shared" si="120"/>
        <v>8.8999999999999996E-2</v>
      </c>
      <c r="H222" s="26">
        <f t="shared" si="121"/>
        <v>6.8247999999999998</v>
      </c>
      <c r="I222" s="27" t="s">
        <v>51</v>
      </c>
    </row>
    <row r="223" spans="1:9" s="11" customFormat="1">
      <c r="A223" s="26"/>
      <c r="B223" s="27"/>
      <c r="C223" s="27">
        <v>4</v>
      </c>
      <c r="D223" s="27">
        <v>8</v>
      </c>
      <c r="E223" s="27">
        <v>440</v>
      </c>
      <c r="F223" s="27">
        <v>21</v>
      </c>
      <c r="G223" s="26">
        <f t="shared" si="120"/>
        <v>0.29599999999999999</v>
      </c>
      <c r="H223" s="26">
        <f t="shared" si="121"/>
        <v>22.310400000000001</v>
      </c>
      <c r="I223" s="27" t="s">
        <v>51</v>
      </c>
    </row>
    <row r="224" spans="1:9" s="11" customFormat="1">
      <c r="A224" s="26"/>
      <c r="B224" s="27"/>
      <c r="C224" s="27">
        <v>4</v>
      </c>
      <c r="D224" s="27">
        <v>8</v>
      </c>
      <c r="E224" s="27">
        <v>301</v>
      </c>
      <c r="F224" s="27">
        <v>36</v>
      </c>
      <c r="G224" s="26">
        <f t="shared" si="120"/>
        <v>0.34699999999999998</v>
      </c>
      <c r="H224" s="26">
        <f t="shared" si="121"/>
        <v>26.236799999999999</v>
      </c>
      <c r="I224" s="27" t="s">
        <v>51</v>
      </c>
    </row>
    <row r="225" spans="1:9" s="11" customFormat="1">
      <c r="A225" s="26"/>
      <c r="B225" s="27"/>
      <c r="C225" s="27">
        <v>4</v>
      </c>
      <c r="D225" s="27">
        <v>8</v>
      </c>
      <c r="E225" s="27">
        <v>278</v>
      </c>
      <c r="F225" s="27">
        <v>21</v>
      </c>
      <c r="G225" s="26">
        <f t="shared" si="120"/>
        <v>0.187</v>
      </c>
      <c r="H225" s="26">
        <f t="shared" si="121"/>
        <v>14.1456</v>
      </c>
      <c r="I225" s="27" t="s">
        <v>51</v>
      </c>
    </row>
    <row r="226" spans="1:9" s="13" customFormat="1" ht="24">
      <c r="A226" s="32" t="s">
        <v>251</v>
      </c>
      <c r="B226" s="31" t="s">
        <v>145</v>
      </c>
      <c r="C226" s="31">
        <v>4</v>
      </c>
      <c r="D226" s="31">
        <v>8</v>
      </c>
      <c r="E226" s="31">
        <v>134</v>
      </c>
      <c r="F226" s="31">
        <v>6</v>
      </c>
      <c r="G226" s="32">
        <f t="shared" si="120"/>
        <v>2.5999999999999999E-2</v>
      </c>
      <c r="H226" s="32">
        <f t="shared" si="121"/>
        <v>1.968</v>
      </c>
      <c r="I226" s="31" t="s">
        <v>146</v>
      </c>
    </row>
    <row r="227" spans="1:9" s="13" customFormat="1">
      <c r="A227" s="32"/>
      <c r="B227" s="31"/>
      <c r="C227" s="31">
        <v>134</v>
      </c>
      <c r="D227" s="31">
        <v>4</v>
      </c>
      <c r="E227" s="31">
        <v>344</v>
      </c>
      <c r="F227" s="31">
        <v>1</v>
      </c>
      <c r="G227" s="32"/>
      <c r="H227" s="32">
        <f t="shared" si="121"/>
        <v>9.6015999999999995</v>
      </c>
      <c r="I227" s="31" t="s">
        <v>108</v>
      </c>
    </row>
    <row r="228" spans="1:9" s="13" customFormat="1" ht="24">
      <c r="A228" s="29" t="s">
        <v>195</v>
      </c>
      <c r="B228" s="30" t="s">
        <v>160</v>
      </c>
      <c r="C228" s="31">
        <v>50</v>
      </c>
      <c r="D228" s="31">
        <v>4</v>
      </c>
      <c r="E228" s="16">
        <f>404+293+10+112</f>
        <v>819</v>
      </c>
      <c r="F228" s="16">
        <v>1</v>
      </c>
      <c r="G228" s="33"/>
      <c r="H228" s="32">
        <f>C228*E228/10000</f>
        <v>4.0949999999999998</v>
      </c>
      <c r="I228" s="31" t="s">
        <v>150</v>
      </c>
    </row>
    <row r="229" spans="1:9" s="13" customFormat="1" ht="24">
      <c r="A229" s="32"/>
      <c r="B229" s="31"/>
      <c r="C229" s="31">
        <v>88</v>
      </c>
      <c r="D229" s="31">
        <v>4</v>
      </c>
      <c r="E229" s="31">
        <f>302+293+285</f>
        <v>880</v>
      </c>
      <c r="F229" s="31">
        <v>1</v>
      </c>
      <c r="G229" s="32"/>
      <c r="H229" s="32">
        <f>C229*E229/10000</f>
        <v>7.7439999999999998</v>
      </c>
      <c r="I229" s="31" t="s">
        <v>150</v>
      </c>
    </row>
    <row r="230" spans="1:9" s="13" customFormat="1">
      <c r="A230" s="32"/>
      <c r="B230" s="31"/>
      <c r="C230" s="31">
        <v>88</v>
      </c>
      <c r="D230" s="31">
        <v>116</v>
      </c>
      <c r="E230" s="31">
        <v>2</v>
      </c>
      <c r="F230" s="31">
        <v>9</v>
      </c>
      <c r="G230" s="32"/>
      <c r="H230" s="32">
        <f>C230*D230*F230/10000</f>
        <v>9.1872000000000007</v>
      </c>
      <c r="I230" s="31" t="s">
        <v>151</v>
      </c>
    </row>
    <row r="231" spans="1:9" s="13" customFormat="1" ht="24">
      <c r="A231" s="32"/>
      <c r="B231" s="31"/>
      <c r="C231" s="31">
        <v>4</v>
      </c>
      <c r="D231" s="31">
        <v>8</v>
      </c>
      <c r="E231" s="31">
        <v>116</v>
      </c>
      <c r="F231" s="31">
        <f>25+18+12</f>
        <v>55</v>
      </c>
      <c r="G231" s="32">
        <f t="shared" ref="G231" si="122">ROUND((C231*D231*E231)*F231/1000000,3)</f>
        <v>0.20399999999999999</v>
      </c>
      <c r="H231" s="32">
        <f t="shared" ref="H231" si="123">F231*(2*C231*E231+2*D231*E231+2*C231*D231)/10000</f>
        <v>15.664</v>
      </c>
      <c r="I231" s="31" t="s">
        <v>152</v>
      </c>
    </row>
    <row r="232" spans="1:9" s="11" customFormat="1" ht="15">
      <c r="A232" s="39" t="s">
        <v>196</v>
      </c>
      <c r="B232" s="38" t="s">
        <v>149</v>
      </c>
      <c r="C232" s="27"/>
      <c r="D232" s="27"/>
      <c r="E232" s="17"/>
      <c r="F232" s="17"/>
      <c r="G232" s="28"/>
      <c r="H232" s="28"/>
      <c r="I232" s="27"/>
    </row>
    <row r="233" spans="1:9" s="11" customFormat="1" ht="36">
      <c r="A233" s="26"/>
      <c r="B233" s="27" t="s">
        <v>155</v>
      </c>
      <c r="C233" s="27">
        <v>5</v>
      </c>
      <c r="D233" s="27">
        <v>20</v>
      </c>
      <c r="E233" s="17">
        <v>1207</v>
      </c>
      <c r="F233" s="17">
        <v>2</v>
      </c>
      <c r="G233" s="26">
        <f t="shared" ref="G233" si="124">ROUND((C233*D233*E233)*F233/1000000,3)</f>
        <v>0.24099999999999999</v>
      </c>
      <c r="H233" s="26">
        <f t="shared" ref="H233" si="125">F233*(2*C233*E233+2*D233*E233+2*C233*D233)/10000</f>
        <v>12.11</v>
      </c>
      <c r="I233" s="27" t="s">
        <v>154</v>
      </c>
    </row>
    <row r="234" spans="1:9" s="11" customFormat="1" ht="24">
      <c r="A234" s="26"/>
      <c r="B234" s="27"/>
      <c r="C234" s="27">
        <v>4</v>
      </c>
      <c r="D234" s="27">
        <v>8</v>
      </c>
      <c r="E234" s="27">
        <v>100</v>
      </c>
      <c r="F234" s="27">
        <v>13</v>
      </c>
      <c r="G234" s="26">
        <f t="shared" ref="G234:G239" si="126">ROUND((C234*D234*E234)*F234/1000000,3)</f>
        <v>4.2000000000000003E-2</v>
      </c>
      <c r="H234" s="26">
        <f t="shared" ref="H234:H239" si="127">F234*(2*C234*E234+2*D234*E234+2*C234*D234)/10000</f>
        <v>3.2031999999999998</v>
      </c>
      <c r="I234" s="27" t="s">
        <v>153</v>
      </c>
    </row>
    <row r="235" spans="1:9" s="11" customFormat="1" ht="24">
      <c r="A235" s="26"/>
      <c r="B235" s="27"/>
      <c r="C235" s="27"/>
      <c r="D235" s="27"/>
      <c r="E235" s="27">
        <f>E233</f>
        <v>1207</v>
      </c>
      <c r="F235" s="27">
        <v>1</v>
      </c>
      <c r="G235" s="26"/>
      <c r="H235" s="26"/>
      <c r="I235" s="27" t="s">
        <v>157</v>
      </c>
    </row>
    <row r="236" spans="1:9" s="11" customFormat="1">
      <c r="A236" s="26"/>
      <c r="B236" s="27"/>
      <c r="C236" s="27"/>
      <c r="D236" s="27"/>
      <c r="E236" s="27">
        <f>E233</f>
        <v>1207</v>
      </c>
      <c r="F236" s="27">
        <v>1</v>
      </c>
      <c r="G236" s="26"/>
      <c r="H236" s="26"/>
      <c r="I236" s="27" t="s">
        <v>156</v>
      </c>
    </row>
    <row r="237" spans="1:9" s="11" customFormat="1">
      <c r="A237" s="26"/>
      <c r="B237" s="27" t="s">
        <v>158</v>
      </c>
      <c r="C237" s="27">
        <v>4</v>
      </c>
      <c r="D237" s="27">
        <v>8</v>
      </c>
      <c r="E237" s="27">
        <v>255</v>
      </c>
      <c r="F237" s="27">
        <f>2*21</f>
        <v>42</v>
      </c>
      <c r="G237" s="26">
        <f t="shared" si="126"/>
        <v>0.34300000000000003</v>
      </c>
      <c r="H237" s="26">
        <f t="shared" si="127"/>
        <v>25.972799999999999</v>
      </c>
      <c r="I237" s="27" t="s">
        <v>51</v>
      </c>
    </row>
    <row r="238" spans="1:9" s="11" customFormat="1">
      <c r="A238" s="26"/>
      <c r="B238" s="27"/>
      <c r="C238" s="27">
        <v>4</v>
      </c>
      <c r="D238" s="27">
        <v>8</v>
      </c>
      <c r="E238" s="27">
        <v>300</v>
      </c>
      <c r="F238" s="27">
        <f>2*4</f>
        <v>8</v>
      </c>
      <c r="G238" s="26">
        <f t="shared" si="126"/>
        <v>7.6999999999999999E-2</v>
      </c>
      <c r="H238" s="26">
        <f t="shared" si="127"/>
        <v>5.8112000000000004</v>
      </c>
      <c r="I238" s="27" t="s">
        <v>19</v>
      </c>
    </row>
    <row r="239" spans="1:9" s="11" customFormat="1">
      <c r="A239" s="26"/>
      <c r="B239" s="27"/>
      <c r="C239" s="27">
        <v>4</v>
      </c>
      <c r="D239" s="27">
        <v>8</v>
      </c>
      <c r="E239" s="27">
        <v>384</v>
      </c>
      <c r="F239" s="27">
        <f>2*2</f>
        <v>4</v>
      </c>
      <c r="G239" s="26">
        <f t="shared" si="126"/>
        <v>4.9000000000000002E-2</v>
      </c>
      <c r="H239" s="26">
        <f t="shared" si="127"/>
        <v>3.7120000000000002</v>
      </c>
      <c r="I239" s="27" t="s">
        <v>4</v>
      </c>
    </row>
    <row r="240" spans="1:9" s="11" customFormat="1" ht="15">
      <c r="A240" s="39" t="s">
        <v>197</v>
      </c>
      <c r="B240" s="38" t="s">
        <v>148</v>
      </c>
      <c r="C240" s="27"/>
      <c r="D240" s="27"/>
      <c r="E240" s="17"/>
      <c r="F240" s="17"/>
      <c r="G240" s="28"/>
      <c r="H240" s="28"/>
      <c r="I240" s="27"/>
    </row>
    <row r="241" spans="1:9" s="11" customFormat="1" ht="36">
      <c r="A241" s="26"/>
      <c r="B241" s="27" t="s">
        <v>155</v>
      </c>
      <c r="C241" s="27">
        <v>5</v>
      </c>
      <c r="D241" s="27">
        <v>20</v>
      </c>
      <c r="E241" s="17">
        <v>315</v>
      </c>
      <c r="F241" s="17">
        <v>2</v>
      </c>
      <c r="G241" s="26">
        <f t="shared" ref="G241:G242" si="128">ROUND((C241*D241*E241)*F241/1000000,3)</f>
        <v>6.3E-2</v>
      </c>
      <c r="H241" s="26">
        <f t="shared" ref="H241:H242" si="129">F241*(2*C241*E241+2*D241*E241+2*C241*D241)/10000</f>
        <v>3.19</v>
      </c>
      <c r="I241" s="27" t="s">
        <v>154</v>
      </c>
    </row>
    <row r="242" spans="1:9" s="11" customFormat="1" ht="24">
      <c r="A242" s="26"/>
      <c r="B242" s="27"/>
      <c r="C242" s="27">
        <v>4</v>
      </c>
      <c r="D242" s="27">
        <v>8</v>
      </c>
      <c r="E242" s="27">
        <v>100</v>
      </c>
      <c r="F242" s="27">
        <v>4</v>
      </c>
      <c r="G242" s="26">
        <f t="shared" si="128"/>
        <v>1.2999999999999999E-2</v>
      </c>
      <c r="H242" s="26">
        <f t="shared" si="129"/>
        <v>0.98560000000000003</v>
      </c>
      <c r="I242" s="27" t="s">
        <v>153</v>
      </c>
    </row>
    <row r="243" spans="1:9" s="11" customFormat="1" ht="24">
      <c r="A243" s="26"/>
      <c r="B243" s="27"/>
      <c r="C243" s="27"/>
      <c r="D243" s="27"/>
      <c r="E243" s="27">
        <f>E241</f>
        <v>315</v>
      </c>
      <c r="F243" s="27">
        <v>1</v>
      </c>
      <c r="G243" s="26"/>
      <c r="H243" s="26"/>
      <c r="I243" s="27" t="s">
        <v>157</v>
      </c>
    </row>
    <row r="244" spans="1:9" s="11" customFormat="1">
      <c r="A244" s="26"/>
      <c r="B244" s="27"/>
      <c r="C244" s="27"/>
      <c r="D244" s="27"/>
      <c r="E244" s="27">
        <f>E241</f>
        <v>315</v>
      </c>
      <c r="F244" s="27">
        <v>1</v>
      </c>
      <c r="G244" s="26"/>
      <c r="H244" s="26"/>
      <c r="I244" s="27" t="s">
        <v>156</v>
      </c>
    </row>
    <row r="245" spans="1:9" s="11" customFormat="1">
      <c r="A245" s="26"/>
      <c r="B245" s="27" t="s">
        <v>158</v>
      </c>
      <c r="C245" s="27">
        <v>4</v>
      </c>
      <c r="D245" s="27">
        <v>8</v>
      </c>
      <c r="E245" s="27">
        <v>255</v>
      </c>
      <c r="F245" s="27">
        <f>10</f>
        <v>10</v>
      </c>
      <c r="G245" s="26">
        <f t="shared" ref="G245:G247" si="130">ROUND((C245*D245*E245)*F245/1000000,3)</f>
        <v>8.2000000000000003E-2</v>
      </c>
      <c r="H245" s="26">
        <f t="shared" ref="H245:H247" si="131">F245*(2*C245*E245+2*D245*E245+2*C245*D245)/10000</f>
        <v>6.1840000000000002</v>
      </c>
      <c r="I245" s="27" t="s">
        <v>51</v>
      </c>
    </row>
    <row r="246" spans="1:9" s="11" customFormat="1">
      <c r="A246" s="26"/>
      <c r="B246" s="27"/>
      <c r="C246" s="27">
        <v>4</v>
      </c>
      <c r="D246" s="27">
        <v>8</v>
      </c>
      <c r="E246" s="27">
        <v>150</v>
      </c>
      <c r="F246" s="27">
        <v>4</v>
      </c>
      <c r="G246" s="26">
        <f t="shared" si="130"/>
        <v>1.9E-2</v>
      </c>
      <c r="H246" s="26">
        <f t="shared" si="131"/>
        <v>1.4656</v>
      </c>
      <c r="I246" s="27" t="s">
        <v>19</v>
      </c>
    </row>
    <row r="247" spans="1:9" s="11" customFormat="1">
      <c r="A247" s="26"/>
      <c r="B247" s="27"/>
      <c r="C247" s="27">
        <v>4</v>
      </c>
      <c r="D247" s="27">
        <v>8</v>
      </c>
      <c r="E247" s="27">
        <v>304</v>
      </c>
      <c r="F247" s="27">
        <v>2</v>
      </c>
      <c r="G247" s="26">
        <f t="shared" si="130"/>
        <v>1.9E-2</v>
      </c>
      <c r="H247" s="26">
        <f t="shared" si="131"/>
        <v>1.472</v>
      </c>
      <c r="I247" s="27" t="s">
        <v>4</v>
      </c>
    </row>
    <row r="248" spans="1:9" s="4" customFormat="1" ht="18">
      <c r="A248" s="34" t="s">
        <v>198</v>
      </c>
      <c r="B248" s="21" t="s">
        <v>9</v>
      </c>
      <c r="C248" s="22"/>
      <c r="D248" s="22"/>
      <c r="E248" s="18"/>
      <c r="F248" s="18"/>
      <c r="G248" s="19"/>
      <c r="H248" s="19"/>
      <c r="I248" s="22"/>
    </row>
    <row r="249" spans="1:9" s="4" customFormat="1" ht="45">
      <c r="A249" s="25"/>
      <c r="B249" s="24" t="s">
        <v>32</v>
      </c>
      <c r="C249" s="25"/>
      <c r="D249" s="25"/>
      <c r="E249" s="25"/>
      <c r="F249" s="25"/>
      <c r="G249" s="25"/>
      <c r="H249" s="25"/>
      <c r="I249" s="22"/>
    </row>
    <row r="250" spans="1:9" s="4" customFormat="1" ht="24">
      <c r="A250" s="25"/>
      <c r="B250" s="22"/>
      <c r="C250" s="22">
        <v>8</v>
      </c>
      <c r="D250" s="22">
        <v>4</v>
      </c>
      <c r="E250" s="22">
        <f>19*150</f>
        <v>2850</v>
      </c>
      <c r="F250" s="22">
        <v>20</v>
      </c>
      <c r="G250" s="19">
        <f t="shared" ref="G250" si="132">ROUND((C250*D250*E250)*F250/1000000,3)</f>
        <v>1.8240000000000001</v>
      </c>
      <c r="H250" s="19">
        <f t="shared" ref="H250" si="133">F250*(2*C250*E250+2*D250*E250+2*C250*D250)/10000</f>
        <v>136.928</v>
      </c>
      <c r="I250" s="22" t="s">
        <v>54</v>
      </c>
    </row>
    <row r="251" spans="1:9" s="4" customFormat="1" ht="15">
      <c r="A251" s="23" t="s">
        <v>199</v>
      </c>
      <c r="B251" s="24" t="s">
        <v>159</v>
      </c>
      <c r="C251" s="22"/>
      <c r="D251" s="22"/>
      <c r="E251" s="18"/>
      <c r="F251" s="18"/>
      <c r="G251" s="19"/>
      <c r="H251" s="19"/>
      <c r="I251" s="22"/>
    </row>
    <row r="252" spans="1:9" s="13" customFormat="1">
      <c r="A252" s="32" t="s">
        <v>260</v>
      </c>
      <c r="B252" s="31" t="s">
        <v>3</v>
      </c>
      <c r="C252" s="31">
        <v>8</v>
      </c>
      <c r="D252" s="31">
        <v>16</v>
      </c>
      <c r="E252" s="31">
        <v>301</v>
      </c>
      <c r="F252" s="31">
        <v>5</v>
      </c>
      <c r="G252" s="33">
        <f t="shared" ref="G252" si="134">ROUND((C252*D252*E252)*F252/1000000,3)</f>
        <v>0.193</v>
      </c>
      <c r="H252" s="33">
        <f t="shared" ref="H252" si="135">F252*(2*C252*E252+2*D252*E252+2*C252*D252)/10000</f>
        <v>7.3520000000000003</v>
      </c>
      <c r="I252" s="31" t="s">
        <v>72</v>
      </c>
    </row>
    <row r="253" spans="1:9" s="13" customFormat="1">
      <c r="A253" s="32"/>
      <c r="B253" s="31"/>
      <c r="C253" s="31">
        <v>8</v>
      </c>
      <c r="D253" s="31">
        <v>16</v>
      </c>
      <c r="E253" s="31">
        <v>336</v>
      </c>
      <c r="F253" s="31">
        <v>8</v>
      </c>
      <c r="G253" s="33">
        <f t="shared" ref="G253" si="136">ROUND((C253*D253*E253)*F253/1000000,3)</f>
        <v>0.34399999999999997</v>
      </c>
      <c r="H253" s="33">
        <f t="shared" ref="H253" si="137">F253*(2*C253*E253+2*D253*E253+2*C253*D253)/10000</f>
        <v>13.107200000000001</v>
      </c>
      <c r="I253" s="31" t="s">
        <v>162</v>
      </c>
    </row>
    <row r="254" spans="1:9" s="13" customFormat="1">
      <c r="A254" s="32"/>
      <c r="B254" s="31"/>
      <c r="C254" s="31"/>
      <c r="D254" s="31"/>
      <c r="E254" s="31"/>
      <c r="F254" s="31">
        <f>SUM(F252:F253)</f>
        <v>13</v>
      </c>
      <c r="G254" s="33"/>
      <c r="H254" s="33"/>
      <c r="I254" s="31" t="s">
        <v>63</v>
      </c>
    </row>
    <row r="255" spans="1:9" s="13" customFormat="1">
      <c r="A255" s="32"/>
      <c r="B255" s="31"/>
      <c r="C255" s="31">
        <v>5</v>
      </c>
      <c r="D255" s="31">
        <v>20</v>
      </c>
      <c r="E255" s="31">
        <v>1107</v>
      </c>
      <c r="F255" s="31">
        <v>2</v>
      </c>
      <c r="G255" s="33">
        <f t="shared" ref="G255:G257" si="138">ROUND((C255*D255*E255)*F255/1000000,3)</f>
        <v>0.221</v>
      </c>
      <c r="H255" s="33">
        <f t="shared" ref="H255:H257" si="139">F255*(2*C255*E255+2*D255*E255+2*C255*D255)/10000</f>
        <v>11.11</v>
      </c>
      <c r="I255" s="31" t="s">
        <v>163</v>
      </c>
    </row>
    <row r="256" spans="1:9" s="13" customFormat="1">
      <c r="A256" s="32"/>
      <c r="B256" s="31"/>
      <c r="C256" s="31">
        <v>5</v>
      </c>
      <c r="D256" s="31">
        <v>20</v>
      </c>
      <c r="E256" s="31">
        <v>340</v>
      </c>
      <c r="F256" s="31">
        <v>12</v>
      </c>
      <c r="G256" s="33">
        <f t="shared" si="138"/>
        <v>0.40799999999999997</v>
      </c>
      <c r="H256" s="33">
        <f t="shared" si="139"/>
        <v>20.64</v>
      </c>
      <c r="I256" s="31" t="s">
        <v>134</v>
      </c>
    </row>
    <row r="257" spans="1:9" s="13" customFormat="1">
      <c r="A257" s="32"/>
      <c r="B257" s="31"/>
      <c r="C257" s="31">
        <v>4</v>
      </c>
      <c r="D257" s="31">
        <v>8</v>
      </c>
      <c r="E257" s="31">
        <v>281</v>
      </c>
      <c r="F257" s="31">
        <v>1</v>
      </c>
      <c r="G257" s="33">
        <f t="shared" si="138"/>
        <v>8.9999999999999993E-3</v>
      </c>
      <c r="H257" s="33">
        <f t="shared" si="139"/>
        <v>0.68079999999999996</v>
      </c>
      <c r="I257" s="31" t="s">
        <v>4</v>
      </c>
    </row>
    <row r="258" spans="1:9" s="13" customFormat="1">
      <c r="A258" s="32"/>
      <c r="B258" s="31"/>
      <c r="C258" s="31">
        <v>4</v>
      </c>
      <c r="D258" s="31">
        <v>8</v>
      </c>
      <c r="E258" s="31">
        <v>292</v>
      </c>
      <c r="F258" s="31">
        <v>2</v>
      </c>
      <c r="G258" s="33">
        <f t="shared" ref="G258:G265" si="140">ROUND((C258*D258*E258)*F258/1000000,3)</f>
        <v>1.9E-2</v>
      </c>
      <c r="H258" s="33">
        <f t="shared" ref="H258:H265" si="141">F258*(2*C258*E258+2*D258*E258+2*C258*D258)/10000</f>
        <v>1.4144000000000001</v>
      </c>
      <c r="I258" s="31" t="s">
        <v>4</v>
      </c>
    </row>
    <row r="259" spans="1:9" s="13" customFormat="1">
      <c r="A259" s="32"/>
      <c r="B259" s="31"/>
      <c r="C259" s="31">
        <v>4</v>
      </c>
      <c r="D259" s="31">
        <v>8</v>
      </c>
      <c r="E259" s="31">
        <v>190</v>
      </c>
      <c r="F259" s="31">
        <v>1</v>
      </c>
      <c r="G259" s="33">
        <f t="shared" si="140"/>
        <v>6.0000000000000001E-3</v>
      </c>
      <c r="H259" s="33">
        <f t="shared" si="141"/>
        <v>0.46239999999999998</v>
      </c>
      <c r="I259" s="31" t="s">
        <v>4</v>
      </c>
    </row>
    <row r="260" spans="1:9" s="13" customFormat="1">
      <c r="A260" s="32"/>
      <c r="B260" s="31"/>
      <c r="C260" s="31">
        <v>4</v>
      </c>
      <c r="D260" s="31">
        <v>8</v>
      </c>
      <c r="E260" s="31">
        <v>305</v>
      </c>
      <c r="F260" s="31">
        <v>2</v>
      </c>
      <c r="G260" s="33">
        <f t="shared" si="140"/>
        <v>0.02</v>
      </c>
      <c r="H260" s="33">
        <f t="shared" si="141"/>
        <v>1.4767999999999999</v>
      </c>
      <c r="I260" s="31" t="s">
        <v>4</v>
      </c>
    </row>
    <row r="261" spans="1:9" s="13" customFormat="1">
      <c r="A261" s="32"/>
      <c r="B261" s="31"/>
      <c r="C261" s="31">
        <v>4</v>
      </c>
      <c r="D261" s="31">
        <v>8</v>
      </c>
      <c r="E261" s="31">
        <v>373</v>
      </c>
      <c r="F261" s="31">
        <v>4</v>
      </c>
      <c r="G261" s="33">
        <f t="shared" si="140"/>
        <v>4.8000000000000001E-2</v>
      </c>
      <c r="H261" s="33">
        <f t="shared" si="141"/>
        <v>3.6063999999999998</v>
      </c>
      <c r="I261" s="31" t="s">
        <v>4</v>
      </c>
    </row>
    <row r="262" spans="1:9" s="13" customFormat="1">
      <c r="A262" s="32"/>
      <c r="B262" s="31"/>
      <c r="C262" s="31">
        <v>4</v>
      </c>
      <c r="D262" s="31">
        <v>8</v>
      </c>
      <c r="E262" s="31">
        <v>356</v>
      </c>
      <c r="F262" s="31">
        <v>2</v>
      </c>
      <c r="G262" s="33">
        <f t="shared" si="140"/>
        <v>2.3E-2</v>
      </c>
      <c r="H262" s="33">
        <f t="shared" si="141"/>
        <v>1.7216</v>
      </c>
      <c r="I262" s="31" t="s">
        <v>4</v>
      </c>
    </row>
    <row r="263" spans="1:9" s="13" customFormat="1">
      <c r="A263" s="32"/>
      <c r="B263" s="31"/>
      <c r="C263" s="31">
        <v>4</v>
      </c>
      <c r="D263" s="31">
        <v>8</v>
      </c>
      <c r="E263" s="31">
        <v>89</v>
      </c>
      <c r="F263" s="31">
        <v>1</v>
      </c>
      <c r="G263" s="33">
        <f t="shared" si="140"/>
        <v>3.0000000000000001E-3</v>
      </c>
      <c r="H263" s="33">
        <f t="shared" si="141"/>
        <v>0.22</v>
      </c>
      <c r="I263" s="31" t="s">
        <v>4</v>
      </c>
    </row>
    <row r="264" spans="1:9" s="13" customFormat="1">
      <c r="A264" s="32"/>
      <c r="B264" s="31"/>
      <c r="C264" s="31">
        <v>4</v>
      </c>
      <c r="D264" s="31">
        <v>8</v>
      </c>
      <c r="E264" s="31">
        <v>40</v>
      </c>
      <c r="F264" s="31">
        <v>1</v>
      </c>
      <c r="G264" s="33">
        <f t="shared" si="140"/>
        <v>1E-3</v>
      </c>
      <c r="H264" s="33">
        <f t="shared" si="141"/>
        <v>0.1024</v>
      </c>
      <c r="I264" s="31" t="s">
        <v>4</v>
      </c>
    </row>
    <row r="265" spans="1:9" s="13" customFormat="1">
      <c r="A265" s="32" t="s">
        <v>261</v>
      </c>
      <c r="B265" s="31" t="s">
        <v>43</v>
      </c>
      <c r="C265" s="31">
        <v>4</v>
      </c>
      <c r="D265" s="31">
        <v>8</v>
      </c>
      <c r="E265" s="31">
        <v>1097</v>
      </c>
      <c r="F265" s="31">
        <v>7</v>
      </c>
      <c r="G265" s="33">
        <f t="shared" si="140"/>
        <v>0.246</v>
      </c>
      <c r="H265" s="33">
        <f t="shared" si="141"/>
        <v>18.474399999999999</v>
      </c>
      <c r="I265" s="31" t="s">
        <v>164</v>
      </c>
    </row>
    <row r="266" spans="1:9" s="13" customFormat="1">
      <c r="A266" s="32"/>
      <c r="B266" s="31"/>
      <c r="C266" s="31">
        <v>1097</v>
      </c>
      <c r="D266" s="31">
        <v>4</v>
      </c>
      <c r="E266" s="31">
        <v>353</v>
      </c>
      <c r="F266" s="31">
        <v>1</v>
      </c>
      <c r="G266" s="33"/>
      <c r="H266" s="33">
        <f>C266*E266*F266/10000</f>
        <v>38.7241</v>
      </c>
      <c r="I266" s="31" t="s">
        <v>108</v>
      </c>
    </row>
    <row r="267" spans="1:9" s="13" customFormat="1" ht="24">
      <c r="A267" s="32" t="s">
        <v>262</v>
      </c>
      <c r="B267" s="31" t="s">
        <v>165</v>
      </c>
      <c r="C267" s="31">
        <v>1095</v>
      </c>
      <c r="D267" s="31">
        <v>250</v>
      </c>
      <c r="E267" s="31">
        <v>2</v>
      </c>
      <c r="F267" s="31">
        <v>1</v>
      </c>
      <c r="G267" s="33"/>
      <c r="H267" s="33">
        <f>C267*D267*F267/10000</f>
        <v>27.375</v>
      </c>
      <c r="I267" s="31" t="s">
        <v>166</v>
      </c>
    </row>
    <row r="268" spans="1:9" s="13" customFormat="1" ht="24">
      <c r="A268" s="32"/>
      <c r="B268" s="31"/>
      <c r="C268" s="31">
        <v>325</v>
      </c>
      <c r="D268" s="31">
        <v>250</v>
      </c>
      <c r="E268" s="31">
        <v>2</v>
      </c>
      <c r="F268" s="31">
        <v>1</v>
      </c>
      <c r="G268" s="33"/>
      <c r="H268" s="33">
        <f t="shared" ref="H268:H276" si="142">C268*D268*F268/10000</f>
        <v>8.125</v>
      </c>
      <c r="I268" s="31" t="s">
        <v>166</v>
      </c>
    </row>
    <row r="269" spans="1:9" s="13" customFormat="1" ht="24">
      <c r="A269" s="32"/>
      <c r="B269" s="31"/>
      <c r="C269" s="31">
        <v>204</v>
      </c>
      <c r="D269" s="31">
        <v>250</v>
      </c>
      <c r="E269" s="31">
        <v>2</v>
      </c>
      <c r="F269" s="31">
        <v>1</v>
      </c>
      <c r="G269" s="33"/>
      <c r="H269" s="33">
        <f t="shared" si="142"/>
        <v>5.0999999999999996</v>
      </c>
      <c r="I269" s="31" t="s">
        <v>166</v>
      </c>
    </row>
    <row r="270" spans="1:9" s="13" customFormat="1" ht="24">
      <c r="A270" s="32"/>
      <c r="B270" s="31"/>
      <c r="C270" s="31">
        <v>230</v>
      </c>
      <c r="D270" s="31">
        <f>107/2</f>
        <v>53.5</v>
      </c>
      <c r="E270" s="31">
        <v>2</v>
      </c>
      <c r="F270" s="31">
        <v>1</v>
      </c>
      <c r="G270" s="33"/>
      <c r="H270" s="33">
        <f t="shared" si="142"/>
        <v>1.2304999999999999</v>
      </c>
      <c r="I270" s="31" t="s">
        <v>166</v>
      </c>
    </row>
    <row r="271" spans="1:9" s="13" customFormat="1" ht="24">
      <c r="A271" s="32"/>
      <c r="B271" s="31"/>
      <c r="C271" s="31">
        <v>109</v>
      </c>
      <c r="D271" s="31">
        <v>250</v>
      </c>
      <c r="E271" s="31">
        <v>2</v>
      </c>
      <c r="F271" s="31">
        <v>1</v>
      </c>
      <c r="G271" s="33"/>
      <c r="H271" s="33">
        <f t="shared" si="142"/>
        <v>2.7250000000000001</v>
      </c>
      <c r="I271" s="31" t="s">
        <v>166</v>
      </c>
    </row>
    <row r="272" spans="1:9" s="13" customFormat="1" ht="24">
      <c r="A272" s="32"/>
      <c r="B272" s="31"/>
      <c r="C272" s="31">
        <v>125</v>
      </c>
      <c r="D272" s="31">
        <v>250</v>
      </c>
      <c r="E272" s="31">
        <v>2</v>
      </c>
      <c r="F272" s="31">
        <v>1</v>
      </c>
      <c r="G272" s="33"/>
      <c r="H272" s="33">
        <f t="shared" si="142"/>
        <v>3.125</v>
      </c>
      <c r="I272" s="31" t="s">
        <v>166</v>
      </c>
    </row>
    <row r="273" spans="1:9" s="13" customFormat="1" ht="24">
      <c r="A273" s="32"/>
      <c r="B273" s="31"/>
      <c r="C273" s="31">
        <v>250</v>
      </c>
      <c r="D273" s="31">
        <v>250</v>
      </c>
      <c r="E273" s="31">
        <v>2</v>
      </c>
      <c r="F273" s="31">
        <v>1</v>
      </c>
      <c r="G273" s="33"/>
      <c r="H273" s="33">
        <f t="shared" si="142"/>
        <v>6.25</v>
      </c>
      <c r="I273" s="31" t="s">
        <v>166</v>
      </c>
    </row>
    <row r="274" spans="1:9" s="13" customFormat="1" ht="24">
      <c r="A274" s="32"/>
      <c r="B274" s="31"/>
      <c r="C274" s="31">
        <v>321</v>
      </c>
      <c r="D274" s="31">
        <v>250</v>
      </c>
      <c r="E274" s="31">
        <v>2</v>
      </c>
      <c r="F274" s="31">
        <v>1</v>
      </c>
      <c r="G274" s="33"/>
      <c r="H274" s="33">
        <f t="shared" si="142"/>
        <v>8.0250000000000004</v>
      </c>
      <c r="I274" s="31" t="s">
        <v>166</v>
      </c>
    </row>
    <row r="275" spans="1:9" s="13" customFormat="1" ht="24">
      <c r="A275" s="32"/>
      <c r="B275" s="31"/>
      <c r="C275" s="31">
        <v>148</v>
      </c>
      <c r="D275" s="31">
        <v>250</v>
      </c>
      <c r="E275" s="31">
        <v>2</v>
      </c>
      <c r="F275" s="31">
        <v>1</v>
      </c>
      <c r="G275" s="33"/>
      <c r="H275" s="33">
        <f t="shared" si="142"/>
        <v>3.7</v>
      </c>
      <c r="I275" s="31" t="s">
        <v>166</v>
      </c>
    </row>
    <row r="276" spans="1:9" s="13" customFormat="1" ht="24">
      <c r="A276" s="32"/>
      <c r="B276" s="31"/>
      <c r="C276" s="31">
        <v>318</v>
      </c>
      <c r="D276" s="31">
        <v>250</v>
      </c>
      <c r="E276" s="31">
        <v>2</v>
      </c>
      <c r="F276" s="31">
        <v>1</v>
      </c>
      <c r="G276" s="33"/>
      <c r="H276" s="33">
        <f t="shared" si="142"/>
        <v>7.95</v>
      </c>
      <c r="I276" s="31" t="s">
        <v>166</v>
      </c>
    </row>
    <row r="277" spans="1:9" s="13" customFormat="1">
      <c r="A277" s="32"/>
      <c r="B277" s="31"/>
      <c r="C277" s="31">
        <v>4</v>
      </c>
      <c r="D277" s="31">
        <v>8</v>
      </c>
      <c r="E277" s="31">
        <v>292</v>
      </c>
      <c r="F277" s="31">
        <v>21</v>
      </c>
      <c r="G277" s="33">
        <f>ROUND((C277*D277*E277)*F277/1000000,3)</f>
        <v>0.19600000000000001</v>
      </c>
      <c r="H277" s="33">
        <f>C277*D277*F277/10000</f>
        <v>6.7199999999999996E-2</v>
      </c>
      <c r="I277" s="31" t="s">
        <v>51</v>
      </c>
    </row>
    <row r="278" spans="1:9" s="13" customFormat="1">
      <c r="A278" s="32"/>
      <c r="B278" s="31"/>
      <c r="C278" s="31">
        <v>4</v>
      </c>
      <c r="D278" s="31">
        <v>8</v>
      </c>
      <c r="E278" s="31">
        <v>306</v>
      </c>
      <c r="F278" s="31">
        <v>21</v>
      </c>
      <c r="G278" s="33">
        <f t="shared" ref="G278:G279" si="143">ROUND((C278*D278*E278)*F278/1000000,3)</f>
        <v>0.20599999999999999</v>
      </c>
      <c r="H278" s="33">
        <f t="shared" ref="H278:H279" si="144">C278*D278*F278/10000</f>
        <v>6.7199999999999996E-2</v>
      </c>
      <c r="I278" s="31" t="s">
        <v>51</v>
      </c>
    </row>
    <row r="279" spans="1:9" s="13" customFormat="1">
      <c r="A279" s="32"/>
      <c r="B279" s="31"/>
      <c r="C279" s="31">
        <v>4</v>
      </c>
      <c r="D279" s="31">
        <v>8</v>
      </c>
      <c r="E279" s="31">
        <v>273</v>
      </c>
      <c r="F279" s="31">
        <f>21+9+18</f>
        <v>48</v>
      </c>
      <c r="G279" s="33">
        <f t="shared" si="143"/>
        <v>0.41899999999999998</v>
      </c>
      <c r="H279" s="33">
        <f t="shared" si="144"/>
        <v>0.15359999999999999</v>
      </c>
      <c r="I279" s="31" t="s">
        <v>51</v>
      </c>
    </row>
    <row r="280" spans="1:9" s="13" customFormat="1">
      <c r="A280" s="32"/>
      <c r="B280" s="31"/>
      <c r="C280" s="31">
        <v>4</v>
      </c>
      <c r="D280" s="31">
        <v>8</v>
      </c>
      <c r="E280" s="31">
        <v>258</v>
      </c>
      <c r="F280" s="31">
        <f>16+14</f>
        <v>30</v>
      </c>
      <c r="G280" s="33">
        <f t="shared" ref="G280" si="145">ROUND((C280*D280*E280)*F280/1000000,3)</f>
        <v>0.248</v>
      </c>
      <c r="H280" s="33">
        <f t="shared" ref="H280" si="146">C280*D280*F280/10000</f>
        <v>9.6000000000000002E-2</v>
      </c>
      <c r="I280" s="31" t="s">
        <v>51</v>
      </c>
    </row>
    <row r="281" spans="1:9" s="13" customFormat="1" ht="15">
      <c r="A281" s="29" t="s">
        <v>200</v>
      </c>
      <c r="B281" s="30" t="s">
        <v>167</v>
      </c>
      <c r="C281" s="31"/>
      <c r="D281" s="31"/>
      <c r="E281" s="31"/>
      <c r="F281" s="31"/>
      <c r="G281" s="33"/>
      <c r="H281" s="33"/>
      <c r="I281" s="31"/>
    </row>
    <row r="282" spans="1:9" s="13" customFormat="1" ht="24">
      <c r="A282" s="32" t="s">
        <v>263</v>
      </c>
      <c r="B282" s="31" t="s">
        <v>118</v>
      </c>
      <c r="C282" s="31">
        <v>30</v>
      </c>
      <c r="D282" s="31">
        <v>2</v>
      </c>
      <c r="E282" s="31">
        <v>198</v>
      </c>
      <c r="F282" s="31">
        <v>7</v>
      </c>
      <c r="G282" s="33"/>
      <c r="H282" s="33"/>
      <c r="I282" s="31" t="s">
        <v>166</v>
      </c>
    </row>
    <row r="283" spans="1:9" s="13" customFormat="1">
      <c r="A283" s="32"/>
      <c r="B283" s="31"/>
      <c r="C283" s="31">
        <v>4</v>
      </c>
      <c r="D283" s="31">
        <v>4</v>
      </c>
      <c r="E283" s="31">
        <v>231</v>
      </c>
      <c r="F283" s="31">
        <v>6</v>
      </c>
      <c r="G283" s="33"/>
      <c r="H283" s="33"/>
      <c r="I283" s="31" t="s">
        <v>120</v>
      </c>
    </row>
    <row r="284" spans="1:9" s="13" customFormat="1">
      <c r="A284" s="32" t="s">
        <v>264</v>
      </c>
      <c r="B284" s="31" t="s">
        <v>168</v>
      </c>
      <c r="C284" s="31">
        <v>60</v>
      </c>
      <c r="D284" s="31">
        <v>4</v>
      </c>
      <c r="E284" s="31">
        <v>194</v>
      </c>
      <c r="F284" s="31">
        <v>1</v>
      </c>
      <c r="G284" s="33"/>
      <c r="H284" s="33"/>
      <c r="I284" s="31" t="s">
        <v>170</v>
      </c>
    </row>
    <row r="285" spans="1:9" s="13" customFormat="1" ht="24">
      <c r="A285" s="32"/>
      <c r="B285" s="31"/>
      <c r="C285" s="31">
        <v>60</v>
      </c>
      <c r="D285" s="31">
        <v>91</v>
      </c>
      <c r="E285" s="31">
        <v>2</v>
      </c>
      <c r="F285" s="31">
        <v>2</v>
      </c>
      <c r="G285" s="33"/>
      <c r="H285" s="33"/>
      <c r="I285" s="31" t="s">
        <v>169</v>
      </c>
    </row>
    <row r="286" spans="1:9" s="13" customFormat="1">
      <c r="A286" s="32" t="s">
        <v>265</v>
      </c>
      <c r="B286" s="31" t="s">
        <v>172</v>
      </c>
      <c r="C286" s="31">
        <v>60</v>
      </c>
      <c r="D286" s="31">
        <v>4</v>
      </c>
      <c r="E286" s="31">
        <v>300</v>
      </c>
      <c r="F286" s="31">
        <v>1</v>
      </c>
      <c r="G286" s="33"/>
      <c r="H286" s="33"/>
      <c r="I286" s="31" t="s">
        <v>170</v>
      </c>
    </row>
    <row r="287" spans="1:9" s="13" customFormat="1" ht="24">
      <c r="A287" s="32"/>
      <c r="B287" s="31"/>
      <c r="C287" s="31">
        <v>60</v>
      </c>
      <c r="D287" s="31">
        <v>91</v>
      </c>
      <c r="E287" s="31">
        <v>2</v>
      </c>
      <c r="F287" s="31">
        <v>4</v>
      </c>
      <c r="G287" s="33"/>
      <c r="H287" s="33"/>
      <c r="I287" s="31" t="s">
        <v>169</v>
      </c>
    </row>
    <row r="288" spans="1:9" s="13" customFormat="1">
      <c r="A288" s="32" t="s">
        <v>266</v>
      </c>
      <c r="B288" s="31" t="s">
        <v>171</v>
      </c>
      <c r="C288" s="31">
        <v>60</v>
      </c>
      <c r="D288" s="31">
        <v>4</v>
      </c>
      <c r="E288" s="31">
        <v>180</v>
      </c>
      <c r="F288" s="31">
        <v>2</v>
      </c>
      <c r="G288" s="33"/>
      <c r="H288" s="33"/>
      <c r="I288" s="31" t="s">
        <v>170</v>
      </c>
    </row>
    <row r="289" spans="1:9" s="13" customFormat="1">
      <c r="A289" s="32"/>
      <c r="B289" s="31"/>
      <c r="C289" s="31">
        <v>60</v>
      </c>
      <c r="D289" s="31">
        <v>4</v>
      </c>
      <c r="E289" s="31">
        <v>295</v>
      </c>
      <c r="F289" s="31">
        <v>1</v>
      </c>
      <c r="G289" s="33"/>
      <c r="H289" s="33"/>
      <c r="I289" s="31" t="s">
        <v>170</v>
      </c>
    </row>
    <row r="290" spans="1:9" s="13" customFormat="1" ht="24">
      <c r="A290" s="32"/>
      <c r="B290" s="31"/>
      <c r="C290" s="31">
        <v>60</v>
      </c>
      <c r="D290" s="31">
        <v>91</v>
      </c>
      <c r="E290" s="31">
        <v>2</v>
      </c>
      <c r="F290" s="31">
        <v>8</v>
      </c>
      <c r="G290" s="33"/>
      <c r="H290" s="33"/>
      <c r="I290" s="31" t="s">
        <v>169</v>
      </c>
    </row>
    <row r="291" spans="1:9" s="13" customFormat="1">
      <c r="A291" s="32" t="s">
        <v>267</v>
      </c>
      <c r="B291" s="31" t="s">
        <v>173</v>
      </c>
      <c r="C291" s="31">
        <v>90</v>
      </c>
      <c r="D291" s="31">
        <v>4</v>
      </c>
      <c r="E291" s="31">
        <v>450</v>
      </c>
      <c r="F291" s="31">
        <v>2</v>
      </c>
      <c r="G291" s="33"/>
      <c r="H291" s="33"/>
      <c r="I291" s="31" t="s">
        <v>170</v>
      </c>
    </row>
    <row r="292" spans="1:9" s="13" customFormat="1" ht="24">
      <c r="A292" s="32"/>
      <c r="B292" s="31"/>
      <c r="C292" s="31">
        <v>90</v>
      </c>
      <c r="D292" s="31">
        <v>91</v>
      </c>
      <c r="E292" s="31">
        <v>2</v>
      </c>
      <c r="F292" s="31">
        <v>6</v>
      </c>
      <c r="G292" s="33"/>
      <c r="H292" s="33"/>
      <c r="I292" s="31" t="s">
        <v>169</v>
      </c>
    </row>
    <row r="293" spans="1:9" s="13" customFormat="1" ht="24">
      <c r="A293" s="32" t="s">
        <v>268</v>
      </c>
      <c r="B293" s="31" t="s">
        <v>174</v>
      </c>
      <c r="C293" s="31">
        <v>30</v>
      </c>
      <c r="D293" s="31">
        <v>2</v>
      </c>
      <c r="E293" s="31">
        <v>198</v>
      </c>
      <c r="F293" s="31">
        <v>7</v>
      </c>
      <c r="G293" s="33"/>
      <c r="H293" s="33"/>
      <c r="I293" s="31" t="s">
        <v>166</v>
      </c>
    </row>
    <row r="294" spans="1:9" s="13" customFormat="1">
      <c r="A294" s="32"/>
      <c r="B294" s="31"/>
      <c r="C294" s="31">
        <v>4</v>
      </c>
      <c r="D294" s="31">
        <v>4</v>
      </c>
      <c r="E294" s="31">
        <v>231</v>
      </c>
      <c r="F294" s="31">
        <v>6</v>
      </c>
      <c r="G294" s="33"/>
      <c r="H294" s="33"/>
      <c r="I294" s="31" t="s">
        <v>120</v>
      </c>
    </row>
    <row r="295" spans="1:9" s="13" customFormat="1" ht="36">
      <c r="A295" s="32" t="s">
        <v>338</v>
      </c>
      <c r="B295" s="31" t="s">
        <v>337</v>
      </c>
      <c r="C295" s="31"/>
      <c r="D295" s="31"/>
      <c r="E295" s="31"/>
      <c r="F295" s="31"/>
      <c r="G295" s="33"/>
      <c r="H295" s="33">
        <v>65</v>
      </c>
      <c r="I295" s="31" t="s">
        <v>351</v>
      </c>
    </row>
    <row r="296" spans="1:9" ht="18">
      <c r="A296" s="34" t="s">
        <v>201</v>
      </c>
      <c r="B296" s="21" t="s">
        <v>10</v>
      </c>
      <c r="C296" s="18"/>
      <c r="D296" s="18"/>
      <c r="E296" s="19"/>
      <c r="F296" s="19"/>
      <c r="G296" s="19"/>
      <c r="H296" s="19"/>
      <c r="I296" s="18"/>
    </row>
    <row r="297" spans="1:9" ht="15">
      <c r="A297" s="23" t="s">
        <v>202</v>
      </c>
      <c r="B297" s="24" t="s">
        <v>11</v>
      </c>
      <c r="C297" s="18"/>
      <c r="D297" s="18"/>
      <c r="E297" s="18"/>
      <c r="F297" s="18"/>
      <c r="G297" s="18"/>
      <c r="H297" s="18"/>
      <c r="I297" s="18"/>
    </row>
    <row r="298" spans="1:9" s="14" customFormat="1">
      <c r="A298" s="33" t="s">
        <v>218</v>
      </c>
      <c r="B298" s="16" t="s">
        <v>3</v>
      </c>
      <c r="C298" s="33">
        <v>10</v>
      </c>
      <c r="D298" s="33">
        <v>20</v>
      </c>
      <c r="E298" s="16">
        <v>231</v>
      </c>
      <c r="F298" s="16">
        <v>4</v>
      </c>
      <c r="G298" s="33">
        <f t="shared" ref="G298:G299" si="147">ROUND((C298*D298*E298)*F298/1000000,3)</f>
        <v>0.185</v>
      </c>
      <c r="H298" s="33"/>
      <c r="I298" s="16" t="s">
        <v>18</v>
      </c>
    </row>
    <row r="299" spans="1:9" s="14" customFormat="1">
      <c r="A299" s="33"/>
      <c r="B299" s="16"/>
      <c r="C299" s="33">
        <v>10</v>
      </c>
      <c r="D299" s="33">
        <v>20</v>
      </c>
      <c r="E299" s="16">
        <v>81</v>
      </c>
      <c r="F299" s="16">
        <v>4</v>
      </c>
      <c r="G299" s="33">
        <f t="shared" si="147"/>
        <v>6.5000000000000002E-2</v>
      </c>
      <c r="H299" s="33"/>
      <c r="I299" s="16" t="s">
        <v>18</v>
      </c>
    </row>
    <row r="300" spans="1:9" s="14" customFormat="1">
      <c r="A300" s="33"/>
      <c r="B300" s="16"/>
      <c r="C300" s="33">
        <v>10</v>
      </c>
      <c r="D300" s="33">
        <v>20</v>
      </c>
      <c r="E300" s="33">
        <v>352</v>
      </c>
      <c r="F300" s="33">
        <v>8</v>
      </c>
      <c r="G300" s="33">
        <f>ROUND((C300*D300*E300)*F300/1000000,3)</f>
        <v>0.56299999999999994</v>
      </c>
      <c r="H300" s="33"/>
      <c r="I300" s="16" t="s">
        <v>15</v>
      </c>
    </row>
    <row r="301" spans="1:9" s="14" customFormat="1">
      <c r="A301" s="33"/>
      <c r="B301" s="16"/>
      <c r="C301" s="33">
        <v>10</v>
      </c>
      <c r="D301" s="33">
        <v>20</v>
      </c>
      <c r="E301" s="33">
        <v>267</v>
      </c>
      <c r="F301" s="33">
        <v>4</v>
      </c>
      <c r="G301" s="33">
        <f t="shared" ref="G301:G335" si="148">ROUND((C301*D301*E301)*F301/1000000,3)</f>
        <v>0.214</v>
      </c>
      <c r="H301" s="33"/>
      <c r="I301" s="16" t="s">
        <v>15</v>
      </c>
    </row>
    <row r="302" spans="1:9" s="14" customFormat="1">
      <c r="A302" s="33"/>
      <c r="B302" s="16"/>
      <c r="C302" s="33">
        <v>10</v>
      </c>
      <c r="D302" s="33">
        <v>20</v>
      </c>
      <c r="E302" s="33">
        <v>130</v>
      </c>
      <c r="F302" s="33">
        <v>12</v>
      </c>
      <c r="G302" s="33">
        <f t="shared" si="148"/>
        <v>0.312</v>
      </c>
      <c r="H302" s="33"/>
      <c r="I302" s="16" t="s">
        <v>16</v>
      </c>
    </row>
    <row r="303" spans="1:9" s="14" customFormat="1">
      <c r="A303" s="33"/>
      <c r="B303" s="16"/>
      <c r="C303" s="33">
        <v>10</v>
      </c>
      <c r="D303" s="33">
        <v>20</v>
      </c>
      <c r="E303" s="33">
        <v>110</v>
      </c>
      <c r="F303" s="33">
        <v>4</v>
      </c>
      <c r="G303" s="33">
        <f t="shared" si="148"/>
        <v>8.7999999999999995E-2</v>
      </c>
      <c r="H303" s="33"/>
      <c r="I303" s="16" t="s">
        <v>16</v>
      </c>
    </row>
    <row r="304" spans="1:9" s="14" customFormat="1">
      <c r="A304" s="33"/>
      <c r="B304" s="16"/>
      <c r="C304" s="33">
        <v>5</v>
      </c>
      <c r="D304" s="33">
        <v>20</v>
      </c>
      <c r="E304" s="33">
        <v>130</v>
      </c>
      <c r="F304" s="33">
        <v>6</v>
      </c>
      <c r="G304" s="33">
        <f t="shared" si="148"/>
        <v>7.8E-2</v>
      </c>
      <c r="H304" s="33"/>
      <c r="I304" s="16" t="s">
        <v>17</v>
      </c>
    </row>
    <row r="305" spans="1:9" s="14" customFormat="1">
      <c r="A305" s="33"/>
      <c r="B305" s="16"/>
      <c r="C305" s="33">
        <v>4</v>
      </c>
      <c r="D305" s="33">
        <v>8</v>
      </c>
      <c r="E305" s="33">
        <v>140</v>
      </c>
      <c r="F305" s="33">
        <v>8</v>
      </c>
      <c r="G305" s="33">
        <f t="shared" si="148"/>
        <v>3.5999999999999997E-2</v>
      </c>
      <c r="H305" s="33"/>
      <c r="I305" s="16" t="s">
        <v>22</v>
      </c>
    </row>
    <row r="306" spans="1:9" s="14" customFormat="1">
      <c r="A306" s="33"/>
      <c r="B306" s="16"/>
      <c r="C306" s="33">
        <v>4</v>
      </c>
      <c r="D306" s="33">
        <v>8</v>
      </c>
      <c r="E306" s="33">
        <v>260</v>
      </c>
      <c r="F306" s="33">
        <v>8</v>
      </c>
      <c r="G306" s="33">
        <f t="shared" si="148"/>
        <v>6.7000000000000004E-2</v>
      </c>
      <c r="H306" s="33"/>
      <c r="I306" s="16" t="s">
        <v>22</v>
      </c>
    </row>
    <row r="307" spans="1:9" s="12" customFormat="1">
      <c r="A307" s="28" t="s">
        <v>219</v>
      </c>
      <c r="B307" s="17" t="s">
        <v>13</v>
      </c>
      <c r="C307" s="28">
        <v>4</v>
      </c>
      <c r="D307" s="28">
        <v>8</v>
      </c>
      <c r="E307" s="28">
        <v>345</v>
      </c>
      <c r="F307" s="28">
        <v>1</v>
      </c>
      <c r="G307" s="28">
        <f t="shared" si="148"/>
        <v>1.0999999999999999E-2</v>
      </c>
      <c r="H307" s="28"/>
      <c r="I307" s="17"/>
    </row>
    <row r="308" spans="1:9" s="12" customFormat="1">
      <c r="A308" s="28"/>
      <c r="B308" s="17"/>
      <c r="C308" s="28">
        <v>4</v>
      </c>
      <c r="D308" s="28">
        <v>8</v>
      </c>
      <c r="E308" s="28">
        <v>374</v>
      </c>
      <c r="F308" s="28">
        <v>1</v>
      </c>
      <c r="G308" s="28">
        <f t="shared" si="148"/>
        <v>1.2E-2</v>
      </c>
      <c r="H308" s="28"/>
      <c r="I308" s="17"/>
    </row>
    <row r="309" spans="1:9" s="12" customFormat="1">
      <c r="A309" s="28"/>
      <c r="B309" s="17"/>
      <c r="C309" s="28">
        <v>4</v>
      </c>
      <c r="D309" s="28">
        <v>8</v>
      </c>
      <c r="E309" s="28">
        <v>302</v>
      </c>
      <c r="F309" s="28">
        <v>2</v>
      </c>
      <c r="G309" s="28">
        <f t="shared" si="148"/>
        <v>1.9E-2</v>
      </c>
      <c r="H309" s="28"/>
      <c r="I309" s="17"/>
    </row>
    <row r="310" spans="1:9" s="12" customFormat="1">
      <c r="A310" s="28"/>
      <c r="B310" s="17"/>
      <c r="C310" s="28">
        <v>4</v>
      </c>
      <c r="D310" s="28">
        <v>8</v>
      </c>
      <c r="E310" s="28">
        <v>382</v>
      </c>
      <c r="F310" s="28">
        <v>2</v>
      </c>
      <c r="G310" s="28">
        <f t="shared" si="148"/>
        <v>2.4E-2</v>
      </c>
      <c r="H310" s="28"/>
      <c r="I310" s="17"/>
    </row>
    <row r="311" spans="1:9" s="12" customFormat="1">
      <c r="A311" s="28"/>
      <c r="B311" s="17"/>
      <c r="C311" s="28">
        <v>4</v>
      </c>
      <c r="D311" s="28">
        <v>8</v>
      </c>
      <c r="E311" s="28">
        <v>96</v>
      </c>
      <c r="F311" s="28">
        <v>4</v>
      </c>
      <c r="G311" s="28">
        <f t="shared" si="148"/>
        <v>1.2E-2</v>
      </c>
      <c r="H311" s="28"/>
      <c r="I311" s="17"/>
    </row>
    <row r="312" spans="1:9" s="12" customFormat="1">
      <c r="A312" s="28"/>
      <c r="B312" s="17"/>
      <c r="C312" s="28">
        <v>4</v>
      </c>
      <c r="D312" s="28">
        <v>8</v>
      </c>
      <c r="E312" s="28">
        <v>122</v>
      </c>
      <c r="F312" s="28">
        <v>2</v>
      </c>
      <c r="G312" s="28">
        <f t="shared" si="148"/>
        <v>8.0000000000000002E-3</v>
      </c>
      <c r="H312" s="28"/>
      <c r="I312" s="17"/>
    </row>
    <row r="313" spans="1:9" s="12" customFormat="1">
      <c r="A313" s="28"/>
      <c r="B313" s="17"/>
      <c r="C313" s="28">
        <v>4</v>
      </c>
      <c r="D313" s="28">
        <v>8</v>
      </c>
      <c r="E313" s="28">
        <v>155</v>
      </c>
      <c r="F313" s="28">
        <v>1</v>
      </c>
      <c r="G313" s="28">
        <f t="shared" si="148"/>
        <v>5.0000000000000001E-3</v>
      </c>
      <c r="H313" s="28"/>
      <c r="I313" s="17"/>
    </row>
    <row r="314" spans="1:9" s="12" customFormat="1">
      <c r="A314" s="28" t="s">
        <v>220</v>
      </c>
      <c r="B314" s="17" t="s">
        <v>14</v>
      </c>
      <c r="C314" s="28">
        <v>4</v>
      </c>
      <c r="D314" s="28">
        <v>8</v>
      </c>
      <c r="E314" s="28">
        <v>140</v>
      </c>
      <c r="F314" s="28">
        <f>72+73+10</f>
        <v>155</v>
      </c>
      <c r="G314" s="28">
        <f t="shared" si="148"/>
        <v>0.69399999999999995</v>
      </c>
      <c r="H314" s="28"/>
      <c r="I314" s="17"/>
    </row>
    <row r="315" spans="1:9" s="12" customFormat="1">
      <c r="A315" s="28"/>
      <c r="B315" s="17" t="s">
        <v>28</v>
      </c>
      <c r="C315" s="28">
        <v>4</v>
      </c>
      <c r="D315" s="28">
        <v>8</v>
      </c>
      <c r="E315" s="28">
        <v>130</v>
      </c>
      <c r="F315" s="28">
        <f>26*3+15*2+2</f>
        <v>110</v>
      </c>
      <c r="G315" s="28">
        <f t="shared" si="148"/>
        <v>0.45800000000000002</v>
      </c>
      <c r="H315" s="28"/>
      <c r="I315" s="17"/>
    </row>
    <row r="316" spans="1:9" s="12" customFormat="1">
      <c r="A316" s="28"/>
      <c r="B316" s="17"/>
      <c r="C316" s="28">
        <v>4</v>
      </c>
      <c r="D316" s="28">
        <v>8</v>
      </c>
      <c r="E316" s="28">
        <v>35</v>
      </c>
      <c r="F316" s="28">
        <v>25</v>
      </c>
      <c r="G316" s="28">
        <f t="shared" si="148"/>
        <v>2.8000000000000001E-2</v>
      </c>
      <c r="H316" s="28"/>
      <c r="I316" s="17" t="s">
        <v>31</v>
      </c>
    </row>
    <row r="317" spans="1:9" s="12" customFormat="1">
      <c r="A317" s="28"/>
      <c r="B317" s="17" t="s">
        <v>29</v>
      </c>
      <c r="C317" s="28">
        <v>4</v>
      </c>
      <c r="D317" s="28">
        <v>15</v>
      </c>
      <c r="E317" s="28">
        <v>35</v>
      </c>
      <c r="F317" s="28">
        <v>25</v>
      </c>
      <c r="G317" s="28">
        <f t="shared" si="148"/>
        <v>5.2999999999999999E-2</v>
      </c>
      <c r="H317" s="28"/>
      <c r="I317" s="17" t="s">
        <v>30</v>
      </c>
    </row>
    <row r="318" spans="1:9" s="14" customFormat="1" ht="15">
      <c r="A318" s="29" t="s">
        <v>203</v>
      </c>
      <c r="B318" s="30" t="s">
        <v>0</v>
      </c>
      <c r="C318" s="33">
        <v>10</v>
      </c>
      <c r="D318" s="33">
        <v>20</v>
      </c>
      <c r="E318" s="33">
        <v>384</v>
      </c>
      <c r="F318" s="33">
        <v>4</v>
      </c>
      <c r="G318" s="33">
        <f t="shared" si="148"/>
        <v>0.307</v>
      </c>
      <c r="H318" s="33"/>
      <c r="I318" s="16" t="s">
        <v>23</v>
      </c>
    </row>
    <row r="319" spans="1:9" s="14" customFormat="1">
      <c r="A319" s="33" t="s">
        <v>204</v>
      </c>
      <c r="B319" s="16" t="s">
        <v>3</v>
      </c>
      <c r="C319" s="33">
        <v>10</v>
      </c>
      <c r="D319" s="33">
        <v>20</v>
      </c>
      <c r="E319" s="33">
        <v>376</v>
      </c>
      <c r="F319" s="33">
        <v>4</v>
      </c>
      <c r="G319" s="33">
        <f t="shared" si="148"/>
        <v>0.30099999999999999</v>
      </c>
      <c r="H319" s="33"/>
      <c r="I319" s="16" t="s">
        <v>24</v>
      </c>
    </row>
    <row r="320" spans="1:9" s="14" customFormat="1">
      <c r="A320" s="33"/>
      <c r="B320" s="16"/>
      <c r="C320" s="33">
        <v>10</v>
      </c>
      <c r="D320" s="33">
        <v>20</v>
      </c>
      <c r="E320" s="33">
        <v>160</v>
      </c>
      <c r="F320" s="33">
        <v>2</v>
      </c>
      <c r="G320" s="33">
        <f t="shared" si="148"/>
        <v>6.4000000000000001E-2</v>
      </c>
      <c r="H320" s="33"/>
      <c r="I320" s="16" t="s">
        <v>16</v>
      </c>
    </row>
    <row r="321" spans="1:9" s="14" customFormat="1">
      <c r="A321" s="33"/>
      <c r="B321" s="16"/>
      <c r="C321" s="33">
        <v>10</v>
      </c>
      <c r="D321" s="33">
        <v>20</v>
      </c>
      <c r="E321" s="33">
        <v>110</v>
      </c>
      <c r="F321" s="33">
        <v>2</v>
      </c>
      <c r="G321" s="33">
        <f t="shared" si="148"/>
        <v>4.3999999999999997E-2</v>
      </c>
      <c r="H321" s="33"/>
      <c r="I321" s="16" t="s">
        <v>16</v>
      </c>
    </row>
    <row r="322" spans="1:9" s="14" customFormat="1" ht="24">
      <c r="A322" s="33"/>
      <c r="B322" s="16"/>
      <c r="C322" s="33">
        <v>10</v>
      </c>
      <c r="D322" s="33">
        <v>20</v>
      </c>
      <c r="E322" s="33">
        <v>401</v>
      </c>
      <c r="F322" s="33">
        <v>8</v>
      </c>
      <c r="G322" s="33">
        <f t="shared" si="148"/>
        <v>0.64200000000000002</v>
      </c>
      <c r="H322" s="33"/>
      <c r="I322" s="16" t="s">
        <v>25</v>
      </c>
    </row>
    <row r="323" spans="1:9" s="14" customFormat="1">
      <c r="A323" s="33"/>
      <c r="B323" s="16"/>
      <c r="C323" s="33">
        <v>10</v>
      </c>
      <c r="D323" s="33">
        <v>20</v>
      </c>
      <c r="E323" s="33">
        <v>245</v>
      </c>
      <c r="F323" s="33">
        <v>2</v>
      </c>
      <c r="G323" s="33">
        <f t="shared" si="148"/>
        <v>9.8000000000000004E-2</v>
      </c>
      <c r="H323" s="33"/>
      <c r="I323" s="16" t="s">
        <v>26</v>
      </c>
    </row>
    <row r="324" spans="1:9" s="14" customFormat="1">
      <c r="A324" s="33"/>
      <c r="B324" s="16"/>
      <c r="C324" s="33">
        <v>10</v>
      </c>
      <c r="D324" s="33">
        <v>25</v>
      </c>
      <c r="E324" s="33">
        <v>160</v>
      </c>
      <c r="F324" s="33">
        <v>4</v>
      </c>
      <c r="G324" s="33">
        <f t="shared" si="148"/>
        <v>0.16</v>
      </c>
      <c r="H324" s="33"/>
      <c r="I324" s="16" t="s">
        <v>19</v>
      </c>
    </row>
    <row r="325" spans="1:9" s="14" customFormat="1">
      <c r="A325" s="33"/>
      <c r="B325" s="16"/>
      <c r="C325" s="33">
        <v>10</v>
      </c>
      <c r="D325" s="33">
        <v>25</v>
      </c>
      <c r="E325" s="33">
        <v>970</v>
      </c>
      <c r="F325" s="33">
        <v>4</v>
      </c>
      <c r="G325" s="33">
        <f t="shared" si="148"/>
        <v>0.97</v>
      </c>
      <c r="H325" s="33"/>
      <c r="I325" s="16" t="s">
        <v>20</v>
      </c>
    </row>
    <row r="326" spans="1:9" s="14" customFormat="1">
      <c r="A326" s="33"/>
      <c r="B326" s="16"/>
      <c r="C326" s="33">
        <v>4</v>
      </c>
      <c r="D326" s="33">
        <v>8</v>
      </c>
      <c r="E326" s="33">
        <v>280</v>
      </c>
      <c r="F326" s="33">
        <v>1</v>
      </c>
      <c r="G326" s="33">
        <f t="shared" si="148"/>
        <v>8.9999999999999993E-3</v>
      </c>
      <c r="H326" s="33"/>
      <c r="I326" s="16" t="s">
        <v>21</v>
      </c>
    </row>
    <row r="327" spans="1:9" s="14" customFormat="1">
      <c r="A327" s="33"/>
      <c r="B327" s="16"/>
      <c r="C327" s="33">
        <v>4</v>
      </c>
      <c r="D327" s="33">
        <v>8</v>
      </c>
      <c r="E327" s="33">
        <v>330</v>
      </c>
      <c r="F327" s="33">
        <v>4</v>
      </c>
      <c r="G327" s="33">
        <f t="shared" si="148"/>
        <v>4.2000000000000003E-2</v>
      </c>
      <c r="H327" s="33"/>
      <c r="I327" s="16" t="s">
        <v>4</v>
      </c>
    </row>
    <row r="328" spans="1:9" s="14" customFormat="1">
      <c r="A328" s="33"/>
      <c r="B328" s="16"/>
      <c r="C328" s="33">
        <v>4</v>
      </c>
      <c r="D328" s="33">
        <v>8</v>
      </c>
      <c r="E328" s="33">
        <v>420</v>
      </c>
      <c r="F328" s="33">
        <v>2</v>
      </c>
      <c r="G328" s="33">
        <f t="shared" si="148"/>
        <v>2.7E-2</v>
      </c>
      <c r="H328" s="33"/>
      <c r="I328" s="16" t="s">
        <v>4</v>
      </c>
    </row>
    <row r="329" spans="1:9" s="14" customFormat="1">
      <c r="A329" s="33"/>
      <c r="B329" s="16"/>
      <c r="C329" s="33"/>
      <c r="D329" s="33"/>
      <c r="E329" s="33"/>
      <c r="F329" s="33">
        <v>4</v>
      </c>
      <c r="G329" s="33"/>
      <c r="H329" s="33"/>
      <c r="I329" s="16" t="s">
        <v>27</v>
      </c>
    </row>
    <row r="330" spans="1:9" s="12" customFormat="1">
      <c r="A330" s="28" t="s">
        <v>205</v>
      </c>
      <c r="B330" s="17" t="s">
        <v>13</v>
      </c>
      <c r="C330" s="28">
        <v>4</v>
      </c>
      <c r="D330" s="28">
        <v>8</v>
      </c>
      <c r="E330" s="28">
        <v>867</v>
      </c>
      <c r="F330" s="28">
        <v>1</v>
      </c>
      <c r="G330" s="28">
        <f t="shared" si="148"/>
        <v>2.8000000000000001E-2</v>
      </c>
      <c r="H330" s="28"/>
      <c r="I330" s="17"/>
    </row>
    <row r="331" spans="1:9" s="12" customFormat="1">
      <c r="A331" s="28"/>
      <c r="B331" s="17"/>
      <c r="C331" s="28">
        <v>4</v>
      </c>
      <c r="D331" s="28">
        <v>8</v>
      </c>
      <c r="E331" s="28">
        <v>148</v>
      </c>
      <c r="F331" s="28">
        <v>1</v>
      </c>
      <c r="G331" s="28">
        <f t="shared" si="148"/>
        <v>5.0000000000000001E-3</v>
      </c>
      <c r="H331" s="28"/>
      <c r="I331" s="17"/>
    </row>
    <row r="332" spans="1:9" s="12" customFormat="1">
      <c r="A332" s="28"/>
      <c r="B332" s="17"/>
      <c r="C332" s="28">
        <v>4</v>
      </c>
      <c r="D332" s="28">
        <v>8</v>
      </c>
      <c r="E332" s="28">
        <v>994</v>
      </c>
      <c r="F332" s="28">
        <v>1</v>
      </c>
      <c r="G332" s="28">
        <f t="shared" si="148"/>
        <v>3.2000000000000001E-2</v>
      </c>
      <c r="H332" s="28"/>
      <c r="I332" s="17"/>
    </row>
    <row r="333" spans="1:9" s="12" customFormat="1">
      <c r="A333" s="28" t="s">
        <v>206</v>
      </c>
      <c r="B333" s="17" t="s">
        <v>14</v>
      </c>
      <c r="C333" s="28">
        <v>4</v>
      </c>
      <c r="D333" s="28">
        <v>8</v>
      </c>
      <c r="E333" s="28">
        <v>136</v>
      </c>
      <c r="F333" s="28">
        <f>55+71</f>
        <v>126</v>
      </c>
      <c r="G333" s="28">
        <f t="shared" si="148"/>
        <v>0.54800000000000004</v>
      </c>
      <c r="H333" s="28"/>
      <c r="I333" s="17"/>
    </row>
    <row r="334" spans="1:9" s="12" customFormat="1">
      <c r="A334" s="28" t="s">
        <v>207</v>
      </c>
      <c r="B334" s="17" t="s">
        <v>28</v>
      </c>
      <c r="C334" s="28">
        <v>4</v>
      </c>
      <c r="D334" s="28">
        <v>8</v>
      </c>
      <c r="E334" s="28">
        <v>160</v>
      </c>
      <c r="F334" s="28">
        <f>87</f>
        <v>87</v>
      </c>
      <c r="G334" s="28">
        <f t="shared" si="148"/>
        <v>0.44500000000000001</v>
      </c>
      <c r="H334" s="28"/>
      <c r="I334" s="17"/>
    </row>
    <row r="335" spans="1:9" s="12" customFormat="1">
      <c r="A335" s="28"/>
      <c r="B335" s="17"/>
      <c r="C335" s="28">
        <v>4</v>
      </c>
      <c r="D335" s="28">
        <v>8</v>
      </c>
      <c r="E335" s="28">
        <v>130</v>
      </c>
      <c r="F335" s="28">
        <f>16</f>
        <v>16</v>
      </c>
      <c r="G335" s="28">
        <f t="shared" si="148"/>
        <v>6.7000000000000004E-2</v>
      </c>
      <c r="H335" s="28"/>
      <c r="I335" s="17"/>
    </row>
    <row r="336" spans="1:9" ht="18">
      <c r="A336" s="21" t="s">
        <v>270</v>
      </c>
      <c r="B336" s="21" t="s">
        <v>269</v>
      </c>
      <c r="C336" s="19"/>
      <c r="D336" s="19"/>
      <c r="E336" s="19"/>
      <c r="F336" s="19"/>
      <c r="G336" s="19"/>
      <c r="H336" s="19"/>
      <c r="I336" s="18"/>
    </row>
    <row r="337" spans="1:9" ht="30">
      <c r="A337" s="24" t="s">
        <v>333</v>
      </c>
      <c r="B337" s="24" t="s">
        <v>32</v>
      </c>
      <c r="C337" s="19"/>
      <c r="D337" s="19"/>
      <c r="E337" s="19"/>
      <c r="F337" s="19"/>
      <c r="G337" s="19"/>
      <c r="H337" s="19"/>
      <c r="I337" s="18"/>
    </row>
    <row r="338" spans="1:9" ht="24">
      <c r="A338" s="19"/>
      <c r="B338" s="18"/>
      <c r="C338" s="22">
        <v>8</v>
      </c>
      <c r="D338" s="22">
        <v>4</v>
      </c>
      <c r="E338" s="22">
        <f>19*150</f>
        <v>2850</v>
      </c>
      <c r="F338" s="22">
        <v>16</v>
      </c>
      <c r="G338" s="19">
        <f t="shared" ref="G338" si="149">ROUND((C338*D338*E338)*F338/1000000,3)</f>
        <v>1.4590000000000001</v>
      </c>
      <c r="H338" s="19">
        <f t="shared" ref="H338:H339" si="150">F338*(2*C338*E338+2*D338*E338+2*C338*D338)/10000</f>
        <v>109.5424</v>
      </c>
      <c r="I338" s="22" t="s">
        <v>54</v>
      </c>
    </row>
    <row r="339" spans="1:9" ht="15">
      <c r="A339" s="24" t="s">
        <v>334</v>
      </c>
      <c r="B339" s="24" t="s">
        <v>350</v>
      </c>
      <c r="C339" s="19">
        <v>4</v>
      </c>
      <c r="D339" s="19">
        <v>8</v>
      </c>
      <c r="E339" s="19">
        <v>520</v>
      </c>
      <c r="F339" s="22">
        <v>1</v>
      </c>
      <c r="G339" s="19">
        <f t="shared" ref="G339" si="151">ROUND((C339*D339*E339)*F339/1000000,3)</f>
        <v>1.7000000000000001E-2</v>
      </c>
      <c r="H339" s="19">
        <f t="shared" si="150"/>
        <v>1.2544</v>
      </c>
      <c r="I339" s="18"/>
    </row>
    <row r="342" spans="1:9">
      <c r="G342" s="9">
        <f>SUM(G5:G341)</f>
        <v>52.135000000000005</v>
      </c>
      <c r="H342" s="9"/>
      <c r="I342" s="10" t="s">
        <v>356</v>
      </c>
    </row>
  </sheetData>
  <phoneticPr fontId="4" type="noConversion"/>
  <printOptions horizontalCentered="1" verticalCentered="1" gridLines="1"/>
  <pageMargins left="0.25" right="0.25" top="0.75" bottom="0.75" header="0.3" footer="0.3"/>
  <pageSetup paperSize="9" fitToHeight="0" orientation="portrait" r:id="rId1"/>
  <headerFooter>
    <oddFooter>&amp;L&amp;P / &amp;N</oddFooter>
  </headerFooter>
  <rowBreaks count="12" manualBreakCount="12">
    <brk id="21" max="16383" man="1"/>
    <brk id="39" max="16383" man="1"/>
    <brk id="62" max="16383" man="1"/>
    <brk id="90" max="16383" man="1"/>
    <brk id="107" max="16383" man="1"/>
    <brk id="138" max="16383" man="1"/>
    <brk id="178" max="16383" man="1"/>
    <brk id="227" max="16383" man="1"/>
    <brk id="247" max="16383" man="1"/>
    <brk id="280" max="16383" man="1"/>
    <brk id="295" max="16383" man="1"/>
    <brk id="3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5383D-4C31-453E-B503-8ABEAE497E1E}">
  <dimension ref="A1:I12"/>
  <sheetViews>
    <sheetView zoomScale="160" zoomScaleNormal="160" workbookViewId="0">
      <selection sqref="A1:D12"/>
    </sheetView>
  </sheetViews>
  <sheetFormatPr defaultRowHeight="12"/>
  <cols>
    <col min="2" max="2" width="44.85546875" customWidth="1"/>
    <col min="3" max="3" width="7" customWidth="1"/>
  </cols>
  <sheetData>
    <row r="1" spans="1:9" ht="18">
      <c r="A1" s="1"/>
      <c r="B1" s="5" t="s">
        <v>339</v>
      </c>
      <c r="C1" s="1"/>
      <c r="D1" s="1"/>
      <c r="E1" s="1"/>
      <c r="F1" s="1"/>
      <c r="G1" s="1"/>
      <c r="H1" s="1"/>
      <c r="I1" s="3"/>
    </row>
    <row r="2" spans="1:9">
      <c r="A2" s="1" t="s">
        <v>272</v>
      </c>
      <c r="B2" s="1" t="s">
        <v>340</v>
      </c>
      <c r="C2" s="1">
        <v>3</v>
      </c>
      <c r="D2" s="1" t="s">
        <v>326</v>
      </c>
      <c r="E2" s="1"/>
      <c r="F2" s="1"/>
      <c r="G2" s="1"/>
      <c r="H2" s="1"/>
      <c r="I2" s="3"/>
    </row>
    <row r="3" spans="1:9">
      <c r="A3" s="1" t="s">
        <v>274</v>
      </c>
      <c r="B3" s="3" t="s">
        <v>341</v>
      </c>
      <c r="C3" s="1">
        <v>20</v>
      </c>
      <c r="D3" s="1" t="s">
        <v>345</v>
      </c>
      <c r="E3" s="1"/>
      <c r="F3" s="1"/>
      <c r="G3" s="1"/>
      <c r="H3" s="1"/>
      <c r="I3" s="3"/>
    </row>
    <row r="4" spans="1:9" ht="24">
      <c r="A4" s="1" t="s">
        <v>276</v>
      </c>
      <c r="B4" s="3" t="s">
        <v>346</v>
      </c>
      <c r="C4" s="1">
        <v>2</v>
      </c>
      <c r="D4" s="1" t="s">
        <v>326</v>
      </c>
      <c r="E4" s="1"/>
      <c r="F4" s="1"/>
      <c r="G4" s="1"/>
      <c r="H4" s="1"/>
      <c r="I4" s="3"/>
    </row>
    <row r="5" spans="1:9">
      <c r="A5" s="1" t="s">
        <v>278</v>
      </c>
      <c r="B5" s="3" t="s">
        <v>347</v>
      </c>
      <c r="C5" s="1">
        <v>1</v>
      </c>
      <c r="D5" s="1" t="s">
        <v>326</v>
      </c>
      <c r="E5" s="1"/>
      <c r="F5" s="1"/>
      <c r="G5" s="1"/>
      <c r="H5" s="1"/>
      <c r="I5" s="3"/>
    </row>
    <row r="6" spans="1:9">
      <c r="A6" s="1" t="s">
        <v>280</v>
      </c>
      <c r="B6" s="1" t="s">
        <v>348</v>
      </c>
      <c r="C6" s="1">
        <v>1</v>
      </c>
      <c r="D6" s="1" t="s">
        <v>326</v>
      </c>
      <c r="E6" s="1"/>
      <c r="F6" s="1"/>
      <c r="G6" s="1"/>
      <c r="H6" s="1"/>
      <c r="I6" s="3"/>
    </row>
    <row r="7" spans="1:9">
      <c r="A7" s="1" t="s">
        <v>282</v>
      </c>
      <c r="B7" s="3" t="s">
        <v>343</v>
      </c>
      <c r="C7" s="1">
        <v>5</v>
      </c>
      <c r="D7" s="1" t="s">
        <v>326</v>
      </c>
      <c r="E7" s="1"/>
      <c r="F7" s="1"/>
      <c r="G7" s="1"/>
      <c r="H7" s="1"/>
      <c r="I7" s="3"/>
    </row>
    <row r="8" spans="1:9">
      <c r="A8" s="1" t="s">
        <v>284</v>
      </c>
      <c r="B8" s="3" t="s">
        <v>344</v>
      </c>
      <c r="C8" s="1">
        <v>1</v>
      </c>
      <c r="D8" s="1" t="s">
        <v>326</v>
      </c>
      <c r="E8" s="1"/>
      <c r="F8" s="1"/>
      <c r="G8" s="1"/>
      <c r="H8" s="1"/>
      <c r="I8" s="3"/>
    </row>
    <row r="9" spans="1:9">
      <c r="A9" s="1" t="s">
        <v>286</v>
      </c>
      <c r="B9" s="3" t="s">
        <v>342</v>
      </c>
      <c r="C9" s="1">
        <v>1</v>
      </c>
      <c r="D9" s="1" t="s">
        <v>326</v>
      </c>
      <c r="E9" s="1"/>
      <c r="F9" s="1"/>
      <c r="G9" s="1"/>
      <c r="H9" s="1"/>
      <c r="I9" s="3"/>
    </row>
    <row r="10" spans="1:9">
      <c r="A10" s="1" t="s">
        <v>288</v>
      </c>
      <c r="B10" s="3" t="s">
        <v>349</v>
      </c>
      <c r="C10" s="1">
        <v>10</v>
      </c>
      <c r="D10" s="1" t="s">
        <v>345</v>
      </c>
      <c r="E10" s="1"/>
      <c r="F10" s="1"/>
      <c r="G10" s="1"/>
      <c r="H10" s="1"/>
      <c r="I10" s="3"/>
    </row>
    <row r="11" spans="1:9">
      <c r="A11" s="1" t="s">
        <v>290</v>
      </c>
      <c r="B11" s="3" t="s">
        <v>352</v>
      </c>
      <c r="C11" s="1">
        <v>1</v>
      </c>
      <c r="D11" s="1" t="s">
        <v>353</v>
      </c>
    </row>
    <row r="12" spans="1:9">
      <c r="A12" s="1" t="s">
        <v>292</v>
      </c>
      <c r="B12" s="3" t="s">
        <v>354</v>
      </c>
      <c r="C12" s="1">
        <v>1</v>
      </c>
      <c r="D12" s="1" t="s">
        <v>353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ADDD-986C-4174-ABCC-12BCC06D2ADF}">
  <dimension ref="A1:D29"/>
  <sheetViews>
    <sheetView tabSelected="1" workbookViewId="0">
      <selection activeCell="H42" sqref="H42"/>
    </sheetView>
  </sheetViews>
  <sheetFormatPr defaultRowHeight="12"/>
  <cols>
    <col min="2" max="2" width="81.7109375" customWidth="1"/>
  </cols>
  <sheetData>
    <row r="1" spans="1:4" ht="18">
      <c r="A1" s="1"/>
      <c r="B1" s="5" t="s">
        <v>271</v>
      </c>
      <c r="C1" s="1" t="s">
        <v>330</v>
      </c>
      <c r="D1" s="1" t="s">
        <v>331</v>
      </c>
    </row>
    <row r="2" spans="1:4">
      <c r="A2" s="1" t="s">
        <v>272</v>
      </c>
      <c r="B2" s="3" t="s">
        <v>273</v>
      </c>
      <c r="C2" s="1">
        <v>1</v>
      </c>
      <c r="D2" s="1" t="s">
        <v>326</v>
      </c>
    </row>
    <row r="3" spans="1:4">
      <c r="A3" s="1" t="s">
        <v>274</v>
      </c>
      <c r="B3" s="3" t="s">
        <v>275</v>
      </c>
      <c r="C3" s="1">
        <v>30</v>
      </c>
      <c r="D3" s="1" t="s">
        <v>327</v>
      </c>
    </row>
    <row r="4" spans="1:4">
      <c r="A4" s="1" t="s">
        <v>276</v>
      </c>
      <c r="B4" s="3" t="s">
        <v>277</v>
      </c>
      <c r="C4" s="1">
        <v>120</v>
      </c>
      <c r="D4" s="1" t="s">
        <v>327</v>
      </c>
    </row>
    <row r="5" spans="1:4">
      <c r="A5" s="1" t="s">
        <v>278</v>
      </c>
      <c r="B5" s="3" t="s">
        <v>279</v>
      </c>
      <c r="C5" s="1">
        <v>250</v>
      </c>
      <c r="D5" s="1" t="s">
        <v>327</v>
      </c>
    </row>
    <row r="6" spans="1:4">
      <c r="A6" s="1" t="s">
        <v>280</v>
      </c>
      <c r="B6" s="3" t="s">
        <v>281</v>
      </c>
      <c r="C6" s="1">
        <v>100</v>
      </c>
      <c r="D6" s="1" t="s">
        <v>327</v>
      </c>
    </row>
    <row r="7" spans="1:4">
      <c r="A7" s="1" t="s">
        <v>282</v>
      </c>
      <c r="B7" s="3" t="s">
        <v>283</v>
      </c>
      <c r="C7" s="1">
        <v>40</v>
      </c>
      <c r="D7" s="1" t="s">
        <v>327</v>
      </c>
    </row>
    <row r="8" spans="1:4">
      <c r="A8" s="1" t="s">
        <v>284</v>
      </c>
      <c r="B8" s="3" t="s">
        <v>285</v>
      </c>
      <c r="C8" s="1">
        <v>20</v>
      </c>
      <c r="D8" s="1" t="s">
        <v>327</v>
      </c>
    </row>
    <row r="9" spans="1:4">
      <c r="A9" s="1" t="s">
        <v>286</v>
      </c>
      <c r="B9" s="3" t="s">
        <v>287</v>
      </c>
      <c r="C9" s="1">
        <v>30</v>
      </c>
      <c r="D9" s="1" t="s">
        <v>327</v>
      </c>
    </row>
    <row r="10" spans="1:4">
      <c r="A10" s="1" t="s">
        <v>288</v>
      </c>
      <c r="B10" s="3" t="s">
        <v>289</v>
      </c>
      <c r="C10" s="1">
        <v>40</v>
      </c>
      <c r="D10" s="1" t="s">
        <v>327</v>
      </c>
    </row>
    <row r="11" spans="1:4">
      <c r="A11" s="1" t="s">
        <v>290</v>
      </c>
      <c r="B11" s="3" t="s">
        <v>291</v>
      </c>
      <c r="C11" s="1">
        <v>40</v>
      </c>
      <c r="D11" s="1" t="s">
        <v>327</v>
      </c>
    </row>
    <row r="12" spans="1:4">
      <c r="A12" s="1" t="s">
        <v>292</v>
      </c>
      <c r="B12" s="3" t="s">
        <v>293</v>
      </c>
      <c r="C12" s="1">
        <v>50</v>
      </c>
      <c r="D12" s="1" t="s">
        <v>327</v>
      </c>
    </row>
    <row r="13" spans="1:4">
      <c r="A13" s="1" t="s">
        <v>294</v>
      </c>
      <c r="B13" s="3" t="s">
        <v>295</v>
      </c>
      <c r="C13" s="1">
        <v>300</v>
      </c>
      <c r="D13" s="1" t="s">
        <v>327</v>
      </c>
    </row>
    <row r="14" spans="1:4">
      <c r="A14" s="1" t="s">
        <v>296</v>
      </c>
      <c r="B14" s="3" t="s">
        <v>297</v>
      </c>
      <c r="C14" s="1">
        <v>3</v>
      </c>
      <c r="D14" s="1" t="s">
        <v>326</v>
      </c>
    </row>
    <row r="15" spans="1:4">
      <c r="A15" s="1" t="s">
        <v>298</v>
      </c>
      <c r="B15" s="3" t="s">
        <v>299</v>
      </c>
      <c r="C15" s="1">
        <v>9</v>
      </c>
      <c r="D15" s="1" t="s">
        <v>326</v>
      </c>
    </row>
    <row r="16" spans="1:4">
      <c r="A16" s="1" t="s">
        <v>300</v>
      </c>
      <c r="B16" s="3" t="s">
        <v>301</v>
      </c>
      <c r="C16" s="1">
        <v>21</v>
      </c>
      <c r="D16" s="1" t="s">
        <v>326</v>
      </c>
    </row>
    <row r="17" spans="1:4">
      <c r="A17" s="1" t="s">
        <v>302</v>
      </c>
      <c r="B17" s="3" t="s">
        <v>303</v>
      </c>
      <c r="C17" s="1"/>
      <c r="D17" s="1"/>
    </row>
    <row r="18" spans="1:4">
      <c r="A18" s="1" t="s">
        <v>304</v>
      </c>
      <c r="B18" s="3" t="s">
        <v>305</v>
      </c>
      <c r="C18" s="1">
        <v>1</v>
      </c>
      <c r="D18" s="1" t="s">
        <v>326</v>
      </c>
    </row>
    <row r="19" spans="1:4">
      <c r="A19" s="1" t="s">
        <v>306</v>
      </c>
      <c r="B19" s="3" t="s">
        <v>307</v>
      </c>
      <c r="C19" s="1">
        <v>3</v>
      </c>
      <c r="D19" s="1" t="s">
        <v>326</v>
      </c>
    </row>
    <row r="20" spans="1:4" ht="24">
      <c r="A20" s="1" t="s">
        <v>308</v>
      </c>
      <c r="B20" s="3" t="s">
        <v>329</v>
      </c>
      <c r="C20" s="1">
        <v>10</v>
      </c>
      <c r="D20" s="1" t="s">
        <v>326</v>
      </c>
    </row>
    <row r="21" spans="1:4">
      <c r="A21" s="1" t="s">
        <v>309</v>
      </c>
      <c r="B21" s="3" t="s">
        <v>310</v>
      </c>
      <c r="C21" s="1">
        <v>23</v>
      </c>
      <c r="D21" s="1" t="s">
        <v>326</v>
      </c>
    </row>
    <row r="22" spans="1:4">
      <c r="A22" s="1" t="s">
        <v>311</v>
      </c>
      <c r="B22" s="3" t="s">
        <v>312</v>
      </c>
      <c r="C22" s="1"/>
      <c r="D22" s="1"/>
    </row>
    <row r="23" spans="1:4">
      <c r="A23" s="1" t="s">
        <v>313</v>
      </c>
      <c r="B23" s="3" t="s">
        <v>314</v>
      </c>
      <c r="C23" s="1">
        <v>25</v>
      </c>
      <c r="D23" s="1" t="s">
        <v>326</v>
      </c>
    </row>
    <row r="24" spans="1:4" ht="24">
      <c r="A24" s="1" t="s">
        <v>315</v>
      </c>
      <c r="B24" s="3" t="s">
        <v>328</v>
      </c>
      <c r="C24" s="1">
        <v>1</v>
      </c>
      <c r="D24" s="1" t="s">
        <v>326</v>
      </c>
    </row>
    <row r="25" spans="1:4">
      <c r="A25" s="1" t="s">
        <v>316</v>
      </c>
      <c r="B25" s="3" t="s">
        <v>317</v>
      </c>
      <c r="C25" s="1">
        <v>1</v>
      </c>
      <c r="D25" s="1" t="s">
        <v>326</v>
      </c>
    </row>
    <row r="26" spans="1:4">
      <c r="A26" s="1" t="s">
        <v>318</v>
      </c>
      <c r="B26" s="3" t="s">
        <v>319</v>
      </c>
      <c r="C26" s="1">
        <v>1</v>
      </c>
      <c r="D26" s="1" t="s">
        <v>326</v>
      </c>
    </row>
    <row r="27" spans="1:4">
      <c r="A27" s="1" t="s">
        <v>320</v>
      </c>
      <c r="B27" s="3" t="s">
        <v>321</v>
      </c>
      <c r="C27" s="1">
        <v>1</v>
      </c>
      <c r="D27" s="1" t="s">
        <v>326</v>
      </c>
    </row>
    <row r="28" spans="1:4">
      <c r="A28" s="1" t="s">
        <v>322</v>
      </c>
      <c r="B28" s="3" t="s">
        <v>323</v>
      </c>
      <c r="C28" s="1">
        <v>3</v>
      </c>
      <c r="D28" s="1" t="s">
        <v>326</v>
      </c>
    </row>
    <row r="29" spans="1:4">
      <c r="A29" s="1" t="s">
        <v>324</v>
      </c>
      <c r="B29" s="3" t="s">
        <v>325</v>
      </c>
      <c r="C29" s="1">
        <v>6</v>
      </c>
      <c r="D29" s="1" t="s">
        <v>326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4215-FCED-4CF4-8111-7627D9A9F396}">
  <dimension ref="A1:B39"/>
  <sheetViews>
    <sheetView zoomScale="85" zoomScaleNormal="85" zoomScaleSheetLayoutView="145" workbookViewId="0">
      <pane ySplit="1" topLeftCell="A2" activePane="bottomLeft" state="frozen"/>
      <selection pane="bottomLeft" activeCell="I14" sqref="I14"/>
    </sheetView>
  </sheetViews>
  <sheetFormatPr defaultColWidth="9.28515625" defaultRowHeight="12"/>
  <cols>
    <col min="1" max="1" width="5.28515625" style="1" customWidth="1"/>
    <col min="2" max="2" width="48.7109375" style="3" customWidth="1"/>
    <col min="3" max="8" width="9.28515625" style="1"/>
    <col min="9" max="9" width="19.28515625" style="1" customWidth="1"/>
    <col min="10" max="16384" width="9.28515625" style="1"/>
  </cols>
  <sheetData>
    <row r="1" spans="1:2" ht="23.25">
      <c r="B1" s="2" t="s">
        <v>12</v>
      </c>
    </row>
    <row r="2" spans="1:2" s="4" customFormat="1" ht="18">
      <c r="A2" s="5" t="s">
        <v>259</v>
      </c>
      <c r="B2" s="5" t="s">
        <v>5</v>
      </c>
    </row>
    <row r="3" spans="1:2" s="4" customFormat="1" ht="15">
      <c r="A3" s="6" t="s">
        <v>177</v>
      </c>
      <c r="B3" s="7" t="s">
        <v>32</v>
      </c>
    </row>
    <row r="4" spans="1:2" s="4" customFormat="1" ht="30">
      <c r="A4" s="6" t="s">
        <v>178</v>
      </c>
      <c r="B4" s="7" t="s">
        <v>210</v>
      </c>
    </row>
    <row r="5" spans="1:2" s="4" customFormat="1" ht="15">
      <c r="A5" s="7" t="s">
        <v>179</v>
      </c>
      <c r="B5" s="7" t="s">
        <v>175</v>
      </c>
    </row>
    <row r="6" spans="1:2" s="4" customFormat="1" ht="30">
      <c r="A6" s="7" t="s">
        <v>180</v>
      </c>
      <c r="B6" s="7" t="s">
        <v>53</v>
      </c>
    </row>
    <row r="7" spans="1:2" s="4" customFormat="1" ht="15">
      <c r="A7" s="6" t="s">
        <v>208</v>
      </c>
      <c r="B7" s="7" t="s">
        <v>48</v>
      </c>
    </row>
    <row r="8" spans="1:2" s="4" customFormat="1" ht="18">
      <c r="A8" s="8" t="s">
        <v>181</v>
      </c>
      <c r="B8" s="5" t="s">
        <v>6</v>
      </c>
    </row>
    <row r="9" spans="1:2" s="4" customFormat="1" ht="15">
      <c r="A9" s="6" t="s">
        <v>182</v>
      </c>
      <c r="B9" s="7" t="s">
        <v>32</v>
      </c>
    </row>
    <row r="10" spans="1:2" s="4" customFormat="1" ht="30">
      <c r="A10" s="6" t="s">
        <v>183</v>
      </c>
      <c r="B10" s="7" t="s">
        <v>147</v>
      </c>
    </row>
    <row r="11" spans="1:2" s="4" customFormat="1" ht="15">
      <c r="A11" s="7" t="s">
        <v>332</v>
      </c>
      <c r="B11" s="7" t="s">
        <v>69</v>
      </c>
    </row>
    <row r="12" spans="1:2" s="4" customFormat="1" ht="18">
      <c r="A12" s="8" t="s">
        <v>184</v>
      </c>
      <c r="B12" s="5" t="s">
        <v>7</v>
      </c>
    </row>
    <row r="13" spans="1:2" s="4" customFormat="1" ht="15">
      <c r="A13" s="6" t="s">
        <v>185</v>
      </c>
      <c r="B13" s="7" t="s">
        <v>32</v>
      </c>
    </row>
    <row r="14" spans="1:2" s="4" customFormat="1" ht="15">
      <c r="A14" s="6" t="s">
        <v>212</v>
      </c>
      <c r="B14" s="7" t="s">
        <v>67</v>
      </c>
    </row>
    <row r="15" spans="1:2" s="4" customFormat="1" ht="15">
      <c r="A15" s="7" t="s">
        <v>213</v>
      </c>
      <c r="B15" s="7" t="s">
        <v>82</v>
      </c>
    </row>
    <row r="16" spans="1:2" s="4" customFormat="1" ht="15">
      <c r="A16" s="6" t="s">
        <v>214</v>
      </c>
      <c r="B16" s="7" t="s">
        <v>69</v>
      </c>
    </row>
    <row r="17" spans="1:2" s="4" customFormat="1" ht="18">
      <c r="A17" s="8" t="s">
        <v>186</v>
      </c>
      <c r="B17" s="5" t="s">
        <v>73</v>
      </c>
    </row>
    <row r="18" spans="1:2" s="4" customFormat="1" ht="15">
      <c r="A18" s="6" t="s">
        <v>187</v>
      </c>
      <c r="B18" s="7" t="s">
        <v>32</v>
      </c>
    </row>
    <row r="19" spans="1:2" s="4" customFormat="1" ht="15">
      <c r="A19" s="6" t="s">
        <v>188</v>
      </c>
      <c r="B19" s="7" t="s">
        <v>97</v>
      </c>
    </row>
    <row r="20" spans="1:2" s="4" customFormat="1" ht="15">
      <c r="A20" s="6" t="s">
        <v>189</v>
      </c>
      <c r="B20" s="7" t="s">
        <v>111</v>
      </c>
    </row>
    <row r="21" spans="1:2" s="4" customFormat="1" ht="15">
      <c r="A21" s="6" t="s">
        <v>190</v>
      </c>
      <c r="B21" s="7" t="s">
        <v>112</v>
      </c>
    </row>
    <row r="22" spans="1:2" s="4" customFormat="1" ht="15">
      <c r="A22" s="6" t="s">
        <v>209</v>
      </c>
      <c r="B22" s="7" t="s">
        <v>114</v>
      </c>
    </row>
    <row r="23" spans="1:2" s="4" customFormat="1" ht="15">
      <c r="A23" s="6" t="s">
        <v>335</v>
      </c>
      <c r="B23" s="7" t="s">
        <v>336</v>
      </c>
    </row>
    <row r="24" spans="1:2" s="4" customFormat="1" ht="18">
      <c r="A24" s="8" t="s">
        <v>191</v>
      </c>
      <c r="B24" s="5" t="s">
        <v>8</v>
      </c>
    </row>
    <row r="25" spans="1:2" s="4" customFormat="1" ht="15">
      <c r="A25" s="6" t="s">
        <v>192</v>
      </c>
      <c r="B25" s="7" t="s">
        <v>32</v>
      </c>
    </row>
    <row r="26" spans="1:2" s="4" customFormat="1" ht="15">
      <c r="A26" s="6" t="s">
        <v>193</v>
      </c>
      <c r="B26" s="7" t="s">
        <v>133</v>
      </c>
    </row>
    <row r="27" spans="1:2" s="4" customFormat="1" ht="15">
      <c r="A27" s="6" t="s">
        <v>194</v>
      </c>
      <c r="B27" s="7" t="s">
        <v>136</v>
      </c>
    </row>
    <row r="28" spans="1:2" s="4" customFormat="1" ht="15">
      <c r="A28" s="6" t="s">
        <v>195</v>
      </c>
      <c r="B28" s="7" t="s">
        <v>160</v>
      </c>
    </row>
    <row r="29" spans="1:2" s="4" customFormat="1" ht="15">
      <c r="A29" s="6" t="s">
        <v>196</v>
      </c>
      <c r="B29" s="7" t="s">
        <v>149</v>
      </c>
    </row>
    <row r="30" spans="1:2" s="4" customFormat="1" ht="15">
      <c r="A30" s="6" t="s">
        <v>197</v>
      </c>
      <c r="B30" s="7" t="s">
        <v>148</v>
      </c>
    </row>
    <row r="31" spans="1:2" s="4" customFormat="1" ht="18">
      <c r="A31" s="8" t="s">
        <v>198</v>
      </c>
      <c r="B31" s="5" t="s">
        <v>9</v>
      </c>
    </row>
    <row r="32" spans="1:2" s="4" customFormat="1" ht="15">
      <c r="A32" s="6" t="s">
        <v>199</v>
      </c>
      <c r="B32" s="7" t="s">
        <v>159</v>
      </c>
    </row>
    <row r="33" spans="1:2" s="4" customFormat="1" ht="15">
      <c r="A33" s="6" t="s">
        <v>200</v>
      </c>
      <c r="B33" s="7" t="s">
        <v>167</v>
      </c>
    </row>
    <row r="34" spans="1:2" ht="18">
      <c r="A34" s="8" t="s">
        <v>201</v>
      </c>
      <c r="B34" s="5" t="s">
        <v>10</v>
      </c>
    </row>
    <row r="35" spans="1:2" ht="15">
      <c r="A35" s="6" t="s">
        <v>202</v>
      </c>
      <c r="B35" s="7" t="s">
        <v>11</v>
      </c>
    </row>
    <row r="36" spans="1:2" ht="15">
      <c r="A36" s="6" t="s">
        <v>203</v>
      </c>
      <c r="B36" s="7" t="s">
        <v>0</v>
      </c>
    </row>
    <row r="37" spans="1:2" ht="18">
      <c r="A37" s="5" t="s">
        <v>270</v>
      </c>
      <c r="B37" s="5" t="s">
        <v>269</v>
      </c>
    </row>
    <row r="38" spans="1:2" ht="15">
      <c r="A38" s="6" t="s">
        <v>333</v>
      </c>
      <c r="B38" s="7" t="s">
        <v>32</v>
      </c>
    </row>
    <row r="39" spans="1:2" ht="15">
      <c r="A39" s="7" t="s">
        <v>334</v>
      </c>
      <c r="B39" s="7" t="s">
        <v>111</v>
      </c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11" scale="54" orientation="portrait" r:id="rId1"/>
  <rowBreaks count="12" manualBreakCount="12">
    <brk id="4" max="16383" man="1"/>
    <brk id="7" max="16383" man="1"/>
    <brk id="11" max="16383" man="1"/>
    <brk id="16" max="16383" man="1"/>
    <brk id="18" max="16383" man="1"/>
    <brk id="20" max="16383" man="1"/>
    <brk id="23" max="16383" man="1"/>
    <brk id="27" max="16383" man="1"/>
    <brk id="30" max="16383" man="1"/>
    <brk id="32" max="16383" man="1"/>
    <brk id="33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ELEMENTY DREWNIANE</vt:lpstr>
      <vt:lpstr>WYPOSAŻENIE SANITARNE</vt:lpstr>
      <vt:lpstr>WYPOSAŻENIE ELEKTRYCZNE</vt:lpstr>
      <vt:lpstr>POZYCJE</vt:lpstr>
      <vt:lpstr>'ELEMENTY DREWNIANE'!Obszar_wydruku</vt:lpstr>
      <vt:lpstr>'ELEMENTY DREWNIANE'!Tytuły_wydruku</vt:lpstr>
      <vt:lpstr>POZYCJE!Tytuły_wydruku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Happach</dc:creator>
  <cp:lastModifiedBy>Natalia Berowska</cp:lastModifiedBy>
  <cp:lastPrinted>2022-03-10T10:46:16Z</cp:lastPrinted>
  <dcterms:created xsi:type="dcterms:W3CDTF">2022-03-01T10:11:35Z</dcterms:created>
  <dcterms:modified xsi:type="dcterms:W3CDTF">2022-03-10T11:47:41Z</dcterms:modified>
</cp:coreProperties>
</file>