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AS-PROJEKT\Desktop\ŁUKASZ BOCZKOWSKI\Projekty 2018\Wnuk\1705 - Tresta\2.Projekt wykonawczy - 02.07.2018\Wersja z 17.12.2018 - ostateczna\Zestawienia - 17.12.2018\"/>
    </mc:Choice>
  </mc:AlternateContent>
  <bookViews>
    <workbookView xWindow="0" yWindow="0" windowWidth="16380" windowHeight="8190" tabRatio="368"/>
  </bookViews>
  <sheets>
    <sheet name="Stal" sheetId="5" r:id="rId1"/>
    <sheet name="Żelbet" sheetId="4" r:id="rId2"/>
    <sheet name="Stal na podkonstrukcję central " sheetId="6" r:id="rId3"/>
    <sheet name="Stal na podkonstrukcję pomostu" sheetId="7" r:id="rId4"/>
    <sheet name="Dane" sheetId="2" state="hidden" r:id="rId5"/>
  </sheets>
  <definedNames>
    <definedName name="_1Excel_BuiltIn_Print_Area_1_1_1">#N/A</definedName>
    <definedName name="_2Excel_BuiltIn_Print_Area_1_1_1_1_1_1">#N/A</definedName>
    <definedName name="_3Excel_BuiltIn_Print_Area_1_1_1_1_1_1_1">#N/A</definedName>
    <definedName name="_4Excel_BuiltIn_Print_Area_1_1_1_1_1_1_1_1">"$#ODWOŁANIE!.$A$1:$L$10"</definedName>
    <definedName name="Excel_BuiltIn_Print_Area_1">#N/A</definedName>
    <definedName name="Excel_BuiltIn_Print_Area_1_1">#N/A</definedName>
    <definedName name="Excel_BuiltIn_Print_Area_1_1_1">#N/A</definedName>
    <definedName name="Excel_BuiltIn_Print_Area_1_1_1_1">#N/A</definedName>
    <definedName name="Excel_BuiltIn_Print_Area_1_1_1_1_1">#N/A</definedName>
    <definedName name="Excel_BuiltIn_Print_Area_1_1_1_1_1_1">#N/A</definedName>
    <definedName name="Excel_BuiltIn_Print_Area_1_1_1_1_1_1_1">#N/A</definedName>
    <definedName name="Excel_BuiltIn_Print_Area_1_1_1_1_1_1_1_1">#N/A</definedName>
    <definedName name="Excel_BuiltIn_Print_Area_1_1_1_1_1_1_1_1_1">#N/A</definedName>
    <definedName name="Excel_BuiltIn_Print_Area_2">"$#ODWOŁANIE!.$A$1:$L$10"</definedName>
    <definedName name="Excel_BuiltIn_Print_Area_2_1">#N/A</definedName>
    <definedName name="_xlnm.Print_Area" localSheetId="0">Stal!$A$1:$O$198</definedName>
    <definedName name="_xlnm.Print_Area" localSheetId="2">'Stal na podkonstrukcję central '!$A$1:$N$23</definedName>
    <definedName name="_xlnm.Print_Area" localSheetId="3">'Stal na podkonstrukcję pomostu'!$A$1:$N$16</definedName>
    <definedName name="_xlnm.Print_Area" localSheetId="1">Żelbet!$A$1:$M$482</definedName>
  </definedNames>
  <calcPr calcId="152511"/>
</workbook>
</file>

<file path=xl/calcChain.xml><?xml version="1.0" encoding="utf-8"?>
<calcChain xmlns="http://schemas.openxmlformats.org/spreadsheetml/2006/main">
  <c r="F8" i="7" l="1"/>
  <c r="F7" i="7"/>
  <c r="F14" i="6"/>
  <c r="L7" i="7"/>
  <c r="M7" i="7" s="1"/>
  <c r="L6" i="7"/>
  <c r="M6" i="7" s="1"/>
  <c r="L5" i="7" l="1"/>
  <c r="M5" i="7" s="1"/>
  <c r="L4" i="7"/>
  <c r="M4" i="7" s="1"/>
  <c r="F10" i="7" s="1"/>
  <c r="G10" i="7" s="1"/>
  <c r="F12" i="7"/>
  <c r="L8" i="7"/>
  <c r="M8" i="7" s="1"/>
  <c r="F13" i="7" s="1"/>
  <c r="G13" i="7" s="1"/>
  <c r="M21" i="6"/>
  <c r="I14" i="6"/>
  <c r="I13" i="6"/>
  <c r="I12" i="6"/>
  <c r="I11" i="6"/>
  <c r="F11" i="6"/>
  <c r="F10" i="6"/>
  <c r="I10" i="6"/>
  <c r="I9" i="6"/>
  <c r="F7" i="6"/>
  <c r="F9" i="6"/>
  <c r="I8" i="6"/>
  <c r="F5" i="6"/>
  <c r="I7" i="6"/>
  <c r="I6" i="6"/>
  <c r="I5" i="6"/>
  <c r="L5" i="6" s="1"/>
  <c r="M5" i="6" s="1"/>
  <c r="I4" i="6"/>
  <c r="L4" i="6"/>
  <c r="M4" i="6" s="1"/>
  <c r="E157" i="4"/>
  <c r="K157" i="4" s="1"/>
  <c r="L157" i="4" s="1"/>
  <c r="E156" i="4"/>
  <c r="E155" i="4"/>
  <c r="K155" i="4" s="1"/>
  <c r="L155" i="4" s="1"/>
  <c r="E154" i="4"/>
  <c r="E153" i="4"/>
  <c r="K153" i="4" s="1"/>
  <c r="L153" i="4" s="1"/>
  <c r="E163" i="4"/>
  <c r="K163" i="4" s="1"/>
  <c r="L163" i="4" s="1"/>
  <c r="E162" i="4"/>
  <c r="K162" i="4" s="1"/>
  <c r="L162" i="4" s="1"/>
  <c r="E166" i="4" s="1"/>
  <c r="G12" i="7" l="1"/>
  <c r="F14" i="7"/>
  <c r="F11" i="7"/>
  <c r="G11" i="7" s="1"/>
  <c r="L13" i="6"/>
  <c r="M13" i="6" s="1"/>
  <c r="L14" i="6"/>
  <c r="M14" i="6" s="1"/>
  <c r="L11" i="6"/>
  <c r="M11" i="6" s="1"/>
  <c r="L10" i="6"/>
  <c r="M10" i="6" s="1"/>
  <c r="L8" i="6"/>
  <c r="M8" i="6" s="1"/>
  <c r="L9" i="6"/>
  <c r="M9" i="6" s="1"/>
  <c r="F19" i="6" s="1"/>
  <c r="G19" i="6" s="1"/>
  <c r="L12" i="6"/>
  <c r="M12" i="6" s="1"/>
  <c r="L6" i="6"/>
  <c r="M6" i="6" s="1"/>
  <c r="F17" i="6" s="1"/>
  <c r="G17" i="6" s="1"/>
  <c r="L7" i="6"/>
  <c r="M7" i="6" s="1"/>
  <c r="G166" i="4"/>
  <c r="K156" i="4"/>
  <c r="L156" i="4" s="1"/>
  <c r="K154" i="4"/>
  <c r="L154" i="4" s="1"/>
  <c r="F166" i="4"/>
  <c r="O89" i="5"/>
  <c r="F81" i="5"/>
  <c r="F79" i="5"/>
  <c r="F78" i="5"/>
  <c r="F77" i="5"/>
  <c r="F16" i="6" l="1"/>
  <c r="G16" i="6" s="1"/>
  <c r="F20" i="6"/>
  <c r="G20" i="6" s="1"/>
  <c r="F18" i="6"/>
  <c r="O189" i="5"/>
  <c r="L156" i="5"/>
  <c r="F21" i="6" l="1"/>
  <c r="G18" i="6"/>
  <c r="I63" i="5"/>
  <c r="E116" i="4"/>
  <c r="K116" i="4" s="1"/>
  <c r="L116" i="4" s="1"/>
  <c r="E115" i="4"/>
  <c r="K115" i="4" s="1"/>
  <c r="L115" i="4" s="1"/>
  <c r="E114" i="4"/>
  <c r="K114" i="4" s="1"/>
  <c r="L114" i="4" s="1"/>
  <c r="E113" i="4"/>
  <c r="K113" i="4" s="1"/>
  <c r="L113" i="4" s="1"/>
  <c r="F22" i="6" l="1"/>
  <c r="E118" i="4"/>
  <c r="E333" i="4"/>
  <c r="K333" i="4" s="1"/>
  <c r="L333" i="4" s="1"/>
  <c r="E332" i="4"/>
  <c r="K332" i="4" s="1"/>
  <c r="L332" i="4" s="1"/>
  <c r="E336" i="4" s="1"/>
  <c r="E331" i="4"/>
  <c r="K331" i="4" s="1"/>
  <c r="L331" i="4" s="1"/>
  <c r="E335" i="4" s="1"/>
  <c r="E119" i="4" l="1"/>
  <c r="L117" i="4" s="1"/>
  <c r="F118" i="4"/>
  <c r="G118" i="4"/>
  <c r="G119" i="4" s="1"/>
  <c r="E337" i="4"/>
  <c r="L334" i="4" s="1"/>
  <c r="G335" i="4"/>
  <c r="F335" i="4"/>
  <c r="F336" i="4"/>
  <c r="G336" i="4"/>
  <c r="G196" i="5"/>
  <c r="G198" i="5"/>
  <c r="N183" i="5"/>
  <c r="F165" i="5"/>
  <c r="F164" i="5"/>
  <c r="L164" i="5" s="1"/>
  <c r="M164" i="5" s="1"/>
  <c r="F136" i="5"/>
  <c r="F135" i="5"/>
  <c r="L135" i="5" s="1"/>
  <c r="M135" i="5" s="1"/>
  <c r="F145" i="5" s="1"/>
  <c r="G337" i="4" l="1"/>
  <c r="F27" i="5"/>
  <c r="F26" i="5"/>
  <c r="F20" i="5"/>
  <c r="F21" i="5"/>
  <c r="F25" i="5"/>
  <c r="F24" i="5"/>
  <c r="I23" i="5"/>
  <c r="I25" i="5" s="1"/>
  <c r="I26" i="5" s="1"/>
  <c r="I27" i="5" s="1"/>
  <c r="F23" i="5"/>
  <c r="L22" i="5"/>
  <c r="M22" i="5" s="1"/>
  <c r="F19" i="5"/>
  <c r="F18" i="5"/>
  <c r="I17" i="5"/>
  <c r="F17" i="5"/>
  <c r="L16" i="5"/>
  <c r="M16" i="5" s="1"/>
  <c r="I13" i="5"/>
  <c r="F39" i="5"/>
  <c r="F38" i="5"/>
  <c r="F37" i="5"/>
  <c r="F36" i="5"/>
  <c r="I35" i="5"/>
  <c r="I36" i="5" s="1"/>
  <c r="I37" i="5" s="1"/>
  <c r="I38" i="5" s="1"/>
  <c r="I39" i="5" s="1"/>
  <c r="F35" i="5"/>
  <c r="M34" i="5"/>
  <c r="L34" i="5"/>
  <c r="F33" i="5"/>
  <c r="F32" i="5"/>
  <c r="F31" i="5"/>
  <c r="F30" i="5"/>
  <c r="I29" i="5"/>
  <c r="I30" i="5" s="1"/>
  <c r="I31" i="5" s="1"/>
  <c r="F29" i="5"/>
  <c r="L28" i="5"/>
  <c r="M28" i="5" s="1"/>
  <c r="F119" i="5"/>
  <c r="L119" i="5" s="1"/>
  <c r="M119" i="5" s="1"/>
  <c r="F118" i="5"/>
  <c r="L118" i="5" s="1"/>
  <c r="M118" i="5" s="1"/>
  <c r="L117" i="5"/>
  <c r="M117" i="5" s="1"/>
  <c r="L116" i="5"/>
  <c r="M116" i="5" s="1"/>
  <c r="F111" i="5"/>
  <c r="L111" i="5" s="1"/>
  <c r="M111" i="5" s="1"/>
  <c r="F110" i="5"/>
  <c r="L110" i="5" s="1"/>
  <c r="M110" i="5" s="1"/>
  <c r="L109" i="5"/>
  <c r="M109" i="5" s="1"/>
  <c r="L108" i="5"/>
  <c r="M108" i="5" s="1"/>
  <c r="F107" i="5"/>
  <c r="L107" i="5" s="1"/>
  <c r="M107" i="5" s="1"/>
  <c r="F106" i="5"/>
  <c r="L106" i="5" s="1"/>
  <c r="M106" i="5" s="1"/>
  <c r="L105" i="5"/>
  <c r="M105" i="5" s="1"/>
  <c r="L104" i="5"/>
  <c r="M104" i="5" s="1"/>
  <c r="O149" i="5"/>
  <c r="O145" i="5"/>
  <c r="F138" i="5"/>
  <c r="L138" i="5" s="1"/>
  <c r="M138" i="5" s="1"/>
  <c r="F147" i="5" s="1"/>
  <c r="G147" i="5" s="1"/>
  <c r="F169" i="5"/>
  <c r="F162" i="5"/>
  <c r="F161" i="5"/>
  <c r="L161" i="5" s="1"/>
  <c r="M161" i="5" s="1"/>
  <c r="F170" i="5"/>
  <c r="L170" i="5" s="1"/>
  <c r="M170" i="5" s="1"/>
  <c r="L169" i="5"/>
  <c r="M169" i="5" s="1"/>
  <c r="L168" i="5"/>
  <c r="M168" i="5" s="1"/>
  <c r="F178" i="5" s="1"/>
  <c r="E103" i="4"/>
  <c r="K103" i="4" s="1"/>
  <c r="L103" i="4" s="1"/>
  <c r="E107" i="4" s="1"/>
  <c r="G107" i="4" s="1"/>
  <c r="F123" i="5"/>
  <c r="L123" i="5" s="1"/>
  <c r="M123" i="5" s="1"/>
  <c r="F122" i="5"/>
  <c r="L122" i="5" s="1"/>
  <c r="M122" i="5" s="1"/>
  <c r="F115" i="5"/>
  <c r="F114" i="5"/>
  <c r="F103" i="5"/>
  <c r="F102" i="5"/>
  <c r="O129" i="5"/>
  <c r="O126" i="5"/>
  <c r="F55" i="5"/>
  <c r="F54" i="5"/>
  <c r="F49" i="5"/>
  <c r="F48" i="5"/>
  <c r="F53" i="5"/>
  <c r="F47" i="5"/>
  <c r="F52" i="5"/>
  <c r="I51" i="5"/>
  <c r="F51" i="5"/>
  <c r="L50" i="5"/>
  <c r="M50" i="5" s="1"/>
  <c r="F46" i="5"/>
  <c r="I45" i="5"/>
  <c r="F45" i="5"/>
  <c r="L44" i="5"/>
  <c r="M44" i="5" s="1"/>
  <c r="L121" i="5"/>
  <c r="M121" i="5" s="1"/>
  <c r="L120" i="5"/>
  <c r="M120" i="5" s="1"/>
  <c r="F99" i="5"/>
  <c r="F98" i="5"/>
  <c r="L97" i="5"/>
  <c r="M97" i="5" s="1"/>
  <c r="L112" i="5"/>
  <c r="M112" i="5" s="1"/>
  <c r="L100" i="5"/>
  <c r="M100" i="5" s="1"/>
  <c r="L96" i="5"/>
  <c r="M96" i="5" s="1"/>
  <c r="E426" i="4"/>
  <c r="K426" i="4" s="1"/>
  <c r="L426" i="4" s="1"/>
  <c r="E429" i="4" s="1"/>
  <c r="E394" i="4"/>
  <c r="K394" i="4" s="1"/>
  <c r="L394" i="4" s="1"/>
  <c r="E398" i="4" s="1"/>
  <c r="E299" i="4"/>
  <c r="K299" i="4" s="1"/>
  <c r="L299" i="4" s="1"/>
  <c r="E303" i="4" s="1"/>
  <c r="E279" i="4"/>
  <c r="K279" i="4" s="1"/>
  <c r="L279" i="4" s="1"/>
  <c r="E282" i="4" s="1"/>
  <c r="I196" i="5"/>
  <c r="I198" i="5"/>
  <c r="E247" i="4"/>
  <c r="K247" i="4" s="1"/>
  <c r="L247" i="4" s="1"/>
  <c r="E250" i="4" s="1"/>
  <c r="E236" i="4"/>
  <c r="K236" i="4" s="1"/>
  <c r="L236" i="4" s="1"/>
  <c r="E225" i="4"/>
  <c r="K225" i="4" s="1"/>
  <c r="L225" i="4" s="1"/>
  <c r="E228" i="4" s="1"/>
  <c r="E215" i="4"/>
  <c r="K215" i="4" s="1"/>
  <c r="L215" i="4" s="1"/>
  <c r="E218" i="4" s="1"/>
  <c r="E205" i="4"/>
  <c r="K205" i="4" s="1"/>
  <c r="L205" i="4" s="1"/>
  <c r="E208" i="4" s="1"/>
  <c r="E195" i="4"/>
  <c r="K195" i="4" s="1"/>
  <c r="L195" i="4" s="1"/>
  <c r="E198" i="4" s="1"/>
  <c r="E185" i="4"/>
  <c r="K185" i="4" s="1"/>
  <c r="L185" i="4" s="1"/>
  <c r="E188" i="4" s="1"/>
  <c r="H152" i="4"/>
  <c r="H159" i="4"/>
  <c r="E161" i="4"/>
  <c r="E159" i="4"/>
  <c r="E152" i="4"/>
  <c r="E141" i="4"/>
  <c r="K141" i="4" s="1"/>
  <c r="L141" i="4" s="1"/>
  <c r="E139" i="4"/>
  <c r="K139" i="4" s="1"/>
  <c r="L139" i="4" s="1"/>
  <c r="E137" i="4"/>
  <c r="K137" i="4" s="1"/>
  <c r="L137" i="4" s="1"/>
  <c r="E135" i="4"/>
  <c r="K135" i="4" s="1"/>
  <c r="L135" i="4" s="1"/>
  <c r="O86" i="5"/>
  <c r="O81" i="5"/>
  <c r="O186" i="5"/>
  <c r="O183" i="5"/>
  <c r="O180" i="5"/>
  <c r="O177" i="5"/>
  <c r="N78" i="5"/>
  <c r="O78" i="5" s="1"/>
  <c r="L136" i="5"/>
  <c r="M136" i="5" s="1"/>
  <c r="F146" i="5" s="1"/>
  <c r="G146" i="5" s="1"/>
  <c r="F159" i="5"/>
  <c r="F158" i="5"/>
  <c r="L158" i="5" s="1"/>
  <c r="M158" i="5" s="1"/>
  <c r="F183" i="5" s="1"/>
  <c r="F167" i="5"/>
  <c r="F157" i="5"/>
  <c r="I172" i="5"/>
  <c r="I174" i="5"/>
  <c r="F174" i="5"/>
  <c r="F75" i="5"/>
  <c r="L75" i="5" s="1"/>
  <c r="M75" i="5" s="1"/>
  <c r="L74" i="5"/>
  <c r="M74" i="5" s="1"/>
  <c r="F73" i="5"/>
  <c r="L73" i="5" s="1"/>
  <c r="M73" i="5" s="1"/>
  <c r="L72" i="5"/>
  <c r="M72" i="5" s="1"/>
  <c r="F71" i="5"/>
  <c r="L71" i="5" s="1"/>
  <c r="M71" i="5" s="1"/>
  <c r="L70" i="5"/>
  <c r="M70" i="5" s="1"/>
  <c r="F69" i="5"/>
  <c r="L69" i="5" s="1"/>
  <c r="M69" i="5" s="1"/>
  <c r="L68" i="5"/>
  <c r="M68" i="5" s="1"/>
  <c r="F67" i="5"/>
  <c r="L67" i="5" s="1"/>
  <c r="M67" i="5" s="1"/>
  <c r="L66" i="5"/>
  <c r="M66" i="5" s="1"/>
  <c r="F65" i="5"/>
  <c r="L65" i="5" s="1"/>
  <c r="M65" i="5" s="1"/>
  <c r="L64" i="5"/>
  <c r="M64" i="5" s="1"/>
  <c r="F63" i="5"/>
  <c r="L63" i="5" s="1"/>
  <c r="M63" i="5" s="1"/>
  <c r="L62" i="5"/>
  <c r="M62" i="5" s="1"/>
  <c r="M156" i="5"/>
  <c r="F176" i="5" s="1"/>
  <c r="I159" i="5"/>
  <c r="L160" i="5"/>
  <c r="M160" i="5" s="1"/>
  <c r="F177" i="5" s="1"/>
  <c r="L163" i="5"/>
  <c r="M163" i="5" s="1"/>
  <c r="L173" i="5"/>
  <c r="M173" i="5" s="1"/>
  <c r="F172" i="5"/>
  <c r="L171" i="5"/>
  <c r="M171" i="5" s="1"/>
  <c r="I167" i="5"/>
  <c r="L166" i="5"/>
  <c r="M166" i="5" s="1"/>
  <c r="L140" i="5"/>
  <c r="M140" i="5" s="1"/>
  <c r="L139" i="5"/>
  <c r="M139" i="5" s="1"/>
  <c r="L137" i="5"/>
  <c r="M137" i="5" s="1"/>
  <c r="L134" i="5"/>
  <c r="M134" i="5" s="1"/>
  <c r="F59" i="5"/>
  <c r="F58" i="5"/>
  <c r="I57" i="5"/>
  <c r="I59" i="5" s="1"/>
  <c r="F57" i="5"/>
  <c r="L56" i="5"/>
  <c r="M56" i="5" s="1"/>
  <c r="F84" i="5" s="1"/>
  <c r="G84" i="5" s="1"/>
  <c r="I61" i="5"/>
  <c r="F61" i="5"/>
  <c r="I41" i="5"/>
  <c r="I42" i="5" s="1"/>
  <c r="I15" i="5"/>
  <c r="I9" i="5"/>
  <c r="I11" i="5" s="1"/>
  <c r="I5" i="5"/>
  <c r="F43" i="5"/>
  <c r="F42" i="5"/>
  <c r="F41" i="5"/>
  <c r="F15" i="5"/>
  <c r="F14" i="5"/>
  <c r="F13" i="5"/>
  <c r="F11" i="5"/>
  <c r="F10" i="5"/>
  <c r="F9" i="5"/>
  <c r="F7" i="5"/>
  <c r="F6" i="5"/>
  <c r="F5" i="5"/>
  <c r="L60" i="5"/>
  <c r="M60" i="5" s="1"/>
  <c r="L40" i="5"/>
  <c r="M40" i="5" s="1"/>
  <c r="L12" i="5"/>
  <c r="M12" i="5" s="1"/>
  <c r="L8" i="5"/>
  <c r="M8" i="5" s="1"/>
  <c r="L4" i="5"/>
  <c r="M4" i="5" s="1"/>
  <c r="E175" i="4"/>
  <c r="K175" i="4" s="1"/>
  <c r="L175" i="4" s="1"/>
  <c r="E178" i="4" s="1"/>
  <c r="F178" i="4" s="1"/>
  <c r="E74" i="4"/>
  <c r="K74" i="4" s="1"/>
  <c r="L74" i="4" s="1"/>
  <c r="E77" i="4" s="1"/>
  <c r="F77" i="4" s="1"/>
  <c r="E51" i="4"/>
  <c r="K51" i="4" s="1"/>
  <c r="L51" i="4" s="1"/>
  <c r="E8" i="4"/>
  <c r="K8" i="4" s="1"/>
  <c r="L8" i="4" s="1"/>
  <c r="E7" i="4"/>
  <c r="K7" i="4" s="1"/>
  <c r="L7" i="4" s="1"/>
  <c r="E5" i="4"/>
  <c r="K5" i="4" s="1"/>
  <c r="L5" i="4" s="1"/>
  <c r="E4" i="4"/>
  <c r="K4" i="4" s="1"/>
  <c r="L4" i="4" s="1"/>
  <c r="B1" i="2"/>
  <c r="B2" i="2"/>
  <c r="E84" i="4" s="1"/>
  <c r="K84" i="4" s="1"/>
  <c r="L84" i="4" s="1"/>
  <c r="E87" i="4" s="1"/>
  <c r="F87" i="4" s="1"/>
  <c r="B3" i="2"/>
  <c r="E99" i="4" s="1"/>
  <c r="K99" i="4" s="1"/>
  <c r="L99" i="4" s="1"/>
  <c r="B4" i="2"/>
  <c r="E37" i="4" s="1"/>
  <c r="K37" i="4" s="1"/>
  <c r="L37" i="4" s="1"/>
  <c r="B5" i="2"/>
  <c r="E466" i="4" s="1"/>
  <c r="K466" i="4" s="1"/>
  <c r="L466" i="4" s="1"/>
  <c r="B6" i="2"/>
  <c r="B7" i="2"/>
  <c r="E464" i="4" s="1"/>
  <c r="K464" i="4" s="1"/>
  <c r="L464" i="4" s="1"/>
  <c r="B8" i="2"/>
  <c r="B9" i="2"/>
  <c r="B10" i="2"/>
  <c r="B11" i="2"/>
  <c r="B12" i="2"/>
  <c r="B13" i="2"/>
  <c r="E245" i="4" l="1"/>
  <c r="K245" i="4" s="1"/>
  <c r="L245" i="4" s="1"/>
  <c r="E257" i="4"/>
  <c r="K257" i="4" s="1"/>
  <c r="L257" i="4" s="1"/>
  <c r="E267" i="4"/>
  <c r="K267" i="4" s="1"/>
  <c r="L267" i="4" s="1"/>
  <c r="E311" i="4"/>
  <c r="K311" i="4" s="1"/>
  <c r="L311" i="4" s="1"/>
  <c r="E342" i="4"/>
  <c r="K342" i="4" s="1"/>
  <c r="L342" i="4" s="1"/>
  <c r="E362" i="4"/>
  <c r="K362" i="4" s="1"/>
  <c r="L362" i="4" s="1"/>
  <c r="E374" i="4"/>
  <c r="K374" i="4" s="1"/>
  <c r="L374" i="4" s="1"/>
  <c r="E406" i="4"/>
  <c r="K406" i="4" s="1"/>
  <c r="L406" i="4" s="1"/>
  <c r="E97" i="4"/>
  <c r="K97" i="4" s="1"/>
  <c r="L97" i="4" s="1"/>
  <c r="E102" i="4"/>
  <c r="K102" i="4" s="1"/>
  <c r="L102" i="4" s="1"/>
  <c r="E38" i="4"/>
  <c r="K38" i="4" s="1"/>
  <c r="L38" i="4" s="1"/>
  <c r="E42" i="4" s="1"/>
  <c r="G42" i="4" s="1"/>
  <c r="E457" i="4"/>
  <c r="K457" i="4" s="1"/>
  <c r="L457" i="4" s="1"/>
  <c r="E461" i="4"/>
  <c r="K461" i="4" s="1"/>
  <c r="L461" i="4" s="1"/>
  <c r="E465" i="4"/>
  <c r="K465" i="4" s="1"/>
  <c r="L465" i="4" s="1"/>
  <c r="E6" i="4"/>
  <c r="K6" i="4" s="1"/>
  <c r="L6" i="4" s="1"/>
  <c r="E50" i="4"/>
  <c r="K50" i="4" s="1"/>
  <c r="L50" i="4" s="1"/>
  <c r="E54" i="4" s="1"/>
  <c r="F54" i="4" s="1"/>
  <c r="E63" i="4"/>
  <c r="K63" i="4" s="1"/>
  <c r="L63" i="4" s="1"/>
  <c r="E67" i="4" s="1"/>
  <c r="F67" i="4" s="1"/>
  <c r="E19" i="4"/>
  <c r="K19" i="4" s="1"/>
  <c r="L19" i="4" s="1"/>
  <c r="E136" i="4"/>
  <c r="K136" i="4" s="1"/>
  <c r="L136" i="4" s="1"/>
  <c r="E143" i="4" s="1"/>
  <c r="F143" i="4" s="1"/>
  <c r="E140" i="4"/>
  <c r="K140" i="4" s="1"/>
  <c r="L140" i="4" s="1"/>
  <c r="E158" i="4"/>
  <c r="K158" i="4" s="1"/>
  <c r="L158" i="4" s="1"/>
  <c r="E194" i="4"/>
  <c r="K194" i="4" s="1"/>
  <c r="L194" i="4" s="1"/>
  <c r="E197" i="4" s="1"/>
  <c r="E214" i="4"/>
  <c r="K214" i="4" s="1"/>
  <c r="L214" i="4" s="1"/>
  <c r="E217" i="4" s="1"/>
  <c r="E234" i="4"/>
  <c r="K234" i="4" s="1"/>
  <c r="L234" i="4" s="1"/>
  <c r="E246" i="4"/>
  <c r="K246" i="4" s="1"/>
  <c r="L246" i="4" s="1"/>
  <c r="E258" i="4"/>
  <c r="K258" i="4" s="1"/>
  <c r="L258" i="4" s="1"/>
  <c r="E261" i="4" s="1"/>
  <c r="F261" i="4" s="1"/>
  <c r="E268" i="4"/>
  <c r="K268" i="4" s="1"/>
  <c r="L268" i="4" s="1"/>
  <c r="E272" i="4" s="1"/>
  <c r="F272" i="4" s="1"/>
  <c r="E288" i="4"/>
  <c r="K288" i="4" s="1"/>
  <c r="L288" i="4" s="1"/>
  <c r="E291" i="4" s="1"/>
  <c r="E300" i="4"/>
  <c r="K300" i="4" s="1"/>
  <c r="L300" i="4" s="1"/>
  <c r="E320" i="4"/>
  <c r="K320" i="4" s="1"/>
  <c r="L320" i="4" s="1"/>
  <c r="E343" i="4"/>
  <c r="K343" i="4" s="1"/>
  <c r="L343" i="4" s="1"/>
  <c r="E346" i="4" s="1"/>
  <c r="G346" i="4" s="1"/>
  <c r="E363" i="4"/>
  <c r="K363" i="4" s="1"/>
  <c r="L363" i="4" s="1"/>
  <c r="E366" i="4" s="1"/>
  <c r="G366" i="4" s="1"/>
  <c r="E383" i="4"/>
  <c r="K383" i="4" s="1"/>
  <c r="L383" i="4" s="1"/>
  <c r="E386" i="4" s="1"/>
  <c r="E395" i="4"/>
  <c r="K395" i="4" s="1"/>
  <c r="L395" i="4" s="1"/>
  <c r="E415" i="4"/>
  <c r="K415" i="4" s="1"/>
  <c r="L415" i="4" s="1"/>
  <c r="E418" i="4" s="1"/>
  <c r="E435" i="4"/>
  <c r="K435" i="4" s="1"/>
  <c r="L435" i="4" s="1"/>
  <c r="E438" i="4" s="1"/>
  <c r="E445" i="4"/>
  <c r="K445" i="4" s="1"/>
  <c r="L445" i="4" s="1"/>
  <c r="E448" i="4" s="1"/>
  <c r="E95" i="4"/>
  <c r="K95" i="4" s="1"/>
  <c r="L95" i="4" s="1"/>
  <c r="E101" i="4"/>
  <c r="K101" i="4" s="1"/>
  <c r="L101" i="4" s="1"/>
  <c r="E28" i="4"/>
  <c r="K28" i="4" s="1"/>
  <c r="L28" i="4" s="1"/>
  <c r="E30" i="4" s="1"/>
  <c r="F30" i="4" s="1"/>
  <c r="E39" i="4"/>
  <c r="K39" i="4" s="1"/>
  <c r="L39" i="4" s="1"/>
  <c r="E43" i="4" s="1"/>
  <c r="G43" i="4" s="1"/>
  <c r="E455" i="4"/>
  <c r="K455" i="4" s="1"/>
  <c r="L455" i="4" s="1"/>
  <c r="E458" i="4"/>
  <c r="K458" i="4" s="1"/>
  <c r="L458" i="4" s="1"/>
  <c r="E462" i="4"/>
  <c r="K462" i="4" s="1"/>
  <c r="L462" i="4" s="1"/>
  <c r="G87" i="4"/>
  <c r="E61" i="4"/>
  <c r="K61" i="4" s="1"/>
  <c r="L61" i="4" s="1"/>
  <c r="E65" i="4" s="1"/>
  <c r="F65" i="4" s="1"/>
  <c r="E49" i="4"/>
  <c r="K49" i="4" s="1"/>
  <c r="L49" i="4" s="1"/>
  <c r="E53" i="4" s="1"/>
  <c r="F53" i="4" s="1"/>
  <c r="E62" i="4"/>
  <c r="K62" i="4" s="1"/>
  <c r="L62" i="4" s="1"/>
  <c r="E66" i="4" s="1"/>
  <c r="F66" i="4" s="1"/>
  <c r="E18" i="4"/>
  <c r="K18" i="4" s="1"/>
  <c r="L18" i="4" s="1"/>
  <c r="E21" i="4" s="1"/>
  <c r="F21" i="4" s="1"/>
  <c r="E125" i="4"/>
  <c r="K125" i="4" s="1"/>
  <c r="L125" i="4" s="1"/>
  <c r="E127" i="4" s="1"/>
  <c r="F127" i="4" s="1"/>
  <c r="E83" i="4"/>
  <c r="K83" i="4" s="1"/>
  <c r="L83" i="4" s="1"/>
  <c r="E86" i="4" s="1"/>
  <c r="F86" i="4" s="1"/>
  <c r="E73" i="4"/>
  <c r="K73" i="4" s="1"/>
  <c r="L73" i="4" s="1"/>
  <c r="E76" i="4" s="1"/>
  <c r="F76" i="4" s="1"/>
  <c r="E174" i="4"/>
  <c r="K174" i="4" s="1"/>
  <c r="L174" i="4" s="1"/>
  <c r="E177" i="4" s="1"/>
  <c r="F177" i="4" s="1"/>
  <c r="F180" i="5"/>
  <c r="E133" i="4"/>
  <c r="K133" i="4" s="1"/>
  <c r="L133" i="4" s="1"/>
  <c r="E269" i="4"/>
  <c r="K269" i="4" s="1"/>
  <c r="L269" i="4" s="1"/>
  <c r="E289" i="4"/>
  <c r="K289" i="4" s="1"/>
  <c r="L289" i="4" s="1"/>
  <c r="E292" i="4" s="1"/>
  <c r="G292" i="4" s="1"/>
  <c r="E309" i="4"/>
  <c r="K309" i="4" s="1"/>
  <c r="L309" i="4" s="1"/>
  <c r="E321" i="4"/>
  <c r="K321" i="4" s="1"/>
  <c r="L321" i="4" s="1"/>
  <c r="E325" i="4" s="1"/>
  <c r="G325" i="4" s="1"/>
  <c r="E352" i="4"/>
  <c r="K352" i="4" s="1"/>
  <c r="L352" i="4" s="1"/>
  <c r="E355" i="4" s="1"/>
  <c r="E372" i="4"/>
  <c r="K372" i="4" s="1"/>
  <c r="L372" i="4" s="1"/>
  <c r="E384" i="4"/>
  <c r="K384" i="4" s="1"/>
  <c r="L384" i="4" s="1"/>
  <c r="E387" i="4" s="1"/>
  <c r="F387" i="4" s="1"/>
  <c r="E404" i="4"/>
  <c r="K404" i="4" s="1"/>
  <c r="L404" i="4" s="1"/>
  <c r="E416" i="4"/>
  <c r="K416" i="4" s="1"/>
  <c r="L416" i="4" s="1"/>
  <c r="E419" i="4" s="1"/>
  <c r="F419" i="4" s="1"/>
  <c r="E436" i="4"/>
  <c r="K436" i="4" s="1"/>
  <c r="L436" i="4" s="1"/>
  <c r="E439" i="4" s="1"/>
  <c r="G439" i="4" s="1"/>
  <c r="E446" i="4"/>
  <c r="K446" i="4" s="1"/>
  <c r="L446" i="4" s="1"/>
  <c r="E449" i="4" s="1"/>
  <c r="F449" i="4" s="1"/>
  <c r="E96" i="4"/>
  <c r="K96" i="4" s="1"/>
  <c r="L96" i="4" s="1"/>
  <c r="E100" i="4"/>
  <c r="K100" i="4" s="1"/>
  <c r="L100" i="4" s="1"/>
  <c r="E36" i="4"/>
  <c r="K36" i="4" s="1"/>
  <c r="L36" i="4" s="1"/>
  <c r="L27" i="5"/>
  <c r="M27" i="5" s="1"/>
  <c r="E469" i="4"/>
  <c r="K469" i="4" s="1"/>
  <c r="L469" i="4" s="1"/>
  <c r="E473" i="4" s="1"/>
  <c r="F473" i="4" s="1"/>
  <c r="E459" i="4"/>
  <c r="K459" i="4" s="1"/>
  <c r="L459" i="4" s="1"/>
  <c r="E463" i="4"/>
  <c r="K463" i="4" s="1"/>
  <c r="L463" i="4" s="1"/>
  <c r="E467" i="4"/>
  <c r="K467" i="4" s="1"/>
  <c r="L467" i="4" s="1"/>
  <c r="E134" i="4"/>
  <c r="K134" i="4" s="1"/>
  <c r="L134" i="4" s="1"/>
  <c r="E145" i="4" s="1"/>
  <c r="F145" i="4" s="1"/>
  <c r="E138" i="4"/>
  <c r="K138" i="4" s="1"/>
  <c r="L138" i="4" s="1"/>
  <c r="E151" i="4"/>
  <c r="K151" i="4" s="1"/>
  <c r="L151" i="4" s="1"/>
  <c r="E165" i="4" s="1"/>
  <c r="G165" i="4" s="1"/>
  <c r="E160" i="4"/>
  <c r="K160" i="4" s="1"/>
  <c r="L160" i="4" s="1"/>
  <c r="E9" i="4"/>
  <c r="K9" i="4" s="1"/>
  <c r="L9" i="4" s="1"/>
  <c r="E12" i="4" s="1"/>
  <c r="F12" i="4" s="1"/>
  <c r="E184" i="4"/>
  <c r="K184" i="4" s="1"/>
  <c r="L184" i="4" s="1"/>
  <c r="E187" i="4" s="1"/>
  <c r="E204" i="4"/>
  <c r="K204" i="4" s="1"/>
  <c r="L204" i="4" s="1"/>
  <c r="E224" i="4"/>
  <c r="K224" i="4" s="1"/>
  <c r="L224" i="4" s="1"/>
  <c r="E227" i="4" s="1"/>
  <c r="E235" i="4"/>
  <c r="K235" i="4" s="1"/>
  <c r="L235" i="4" s="1"/>
  <c r="E256" i="4"/>
  <c r="K256" i="4" s="1"/>
  <c r="L256" i="4" s="1"/>
  <c r="E260" i="4" s="1"/>
  <c r="E278" i="4"/>
  <c r="K278" i="4" s="1"/>
  <c r="L278" i="4" s="1"/>
  <c r="E281" i="4" s="1"/>
  <c r="E298" i="4"/>
  <c r="K298" i="4" s="1"/>
  <c r="L298" i="4" s="1"/>
  <c r="E302" i="4" s="1"/>
  <c r="E310" i="4"/>
  <c r="K310" i="4" s="1"/>
  <c r="L310" i="4" s="1"/>
  <c r="E314" i="4" s="1"/>
  <c r="F314" i="4" s="1"/>
  <c r="E322" i="4"/>
  <c r="K322" i="4" s="1"/>
  <c r="L322" i="4" s="1"/>
  <c r="E353" i="4"/>
  <c r="K353" i="4" s="1"/>
  <c r="L353" i="4" s="1"/>
  <c r="E356" i="4" s="1"/>
  <c r="F356" i="4" s="1"/>
  <c r="E373" i="4"/>
  <c r="K373" i="4" s="1"/>
  <c r="L373" i="4" s="1"/>
  <c r="E377" i="4" s="1"/>
  <c r="F377" i="4" s="1"/>
  <c r="E393" i="4"/>
  <c r="K393" i="4" s="1"/>
  <c r="L393" i="4" s="1"/>
  <c r="E397" i="4" s="1"/>
  <c r="E405" i="4"/>
  <c r="K405" i="4" s="1"/>
  <c r="L405" i="4" s="1"/>
  <c r="E409" i="4" s="1"/>
  <c r="F409" i="4" s="1"/>
  <c r="E425" i="4"/>
  <c r="K425" i="4" s="1"/>
  <c r="L425" i="4" s="1"/>
  <c r="E428" i="4" s="1"/>
  <c r="E94" i="4"/>
  <c r="K94" i="4" s="1"/>
  <c r="L94" i="4" s="1"/>
  <c r="E98" i="4"/>
  <c r="K98" i="4" s="1"/>
  <c r="L98" i="4" s="1"/>
  <c r="E456" i="4"/>
  <c r="K456" i="4" s="1"/>
  <c r="L456" i="4" s="1"/>
  <c r="E460" i="4"/>
  <c r="K460" i="4" s="1"/>
  <c r="L460" i="4" s="1"/>
  <c r="E468" i="4"/>
  <c r="K468" i="4" s="1"/>
  <c r="L468" i="4" s="1"/>
  <c r="E88" i="4"/>
  <c r="L85" i="4" s="1"/>
  <c r="F179" i="5"/>
  <c r="F186" i="5"/>
  <c r="G186" i="5" s="1"/>
  <c r="L31" i="5"/>
  <c r="M31" i="5" s="1"/>
  <c r="I32" i="5"/>
  <c r="L32" i="5" s="1"/>
  <c r="M32" i="5" s="1"/>
  <c r="F144" i="5"/>
  <c r="I24" i="5"/>
  <c r="L37" i="5"/>
  <c r="M37" i="5" s="1"/>
  <c r="I33" i="5"/>
  <c r="L33" i="5" s="1"/>
  <c r="M33" i="5" s="1"/>
  <c r="L17" i="5"/>
  <c r="M17" i="5" s="1"/>
  <c r="L26" i="5"/>
  <c r="M26" i="5" s="1"/>
  <c r="L25" i="5"/>
  <c r="M25" i="5" s="1"/>
  <c r="L23" i="5"/>
  <c r="M23" i="5" s="1"/>
  <c r="I18" i="5"/>
  <c r="I19" i="5" s="1"/>
  <c r="I20" i="5" s="1"/>
  <c r="I21" i="5" s="1"/>
  <c r="L21" i="5" s="1"/>
  <c r="M21" i="5" s="1"/>
  <c r="F86" i="5"/>
  <c r="G86" i="5" s="1"/>
  <c r="L30" i="5"/>
  <c r="M30" i="5" s="1"/>
  <c r="L39" i="5"/>
  <c r="M39" i="5" s="1"/>
  <c r="L36" i="5"/>
  <c r="M36" i="5" s="1"/>
  <c r="M35" i="5"/>
  <c r="L35" i="5"/>
  <c r="L29" i="5"/>
  <c r="M29" i="5" s="1"/>
  <c r="L38" i="5"/>
  <c r="M38" i="5" s="1"/>
  <c r="L51" i="5"/>
  <c r="M51" i="5" s="1"/>
  <c r="L45" i="5"/>
  <c r="M45" i="5" s="1"/>
  <c r="G145" i="5"/>
  <c r="E41" i="4"/>
  <c r="F107" i="4"/>
  <c r="I52" i="5"/>
  <c r="I53" i="5" s="1"/>
  <c r="I54" i="5" s="1"/>
  <c r="I55" i="5" s="1"/>
  <c r="I46" i="5"/>
  <c r="I47" i="5" s="1"/>
  <c r="I48" i="5" s="1"/>
  <c r="L113" i="5"/>
  <c r="M113" i="5" s="1"/>
  <c r="L101" i="5"/>
  <c r="M101" i="5" s="1"/>
  <c r="L98" i="5"/>
  <c r="M98" i="5" s="1"/>
  <c r="L115" i="5"/>
  <c r="M115" i="5" s="1"/>
  <c r="L103" i="5"/>
  <c r="M103" i="5" s="1"/>
  <c r="F439" i="4"/>
  <c r="F429" i="4"/>
  <c r="G429" i="4"/>
  <c r="F398" i="4"/>
  <c r="G398" i="4"/>
  <c r="G387" i="4"/>
  <c r="E365" i="4"/>
  <c r="E345" i="4"/>
  <c r="F303" i="4"/>
  <c r="G303" i="4"/>
  <c r="F282" i="4"/>
  <c r="G282" i="4"/>
  <c r="E239" i="4"/>
  <c r="G239" i="4" s="1"/>
  <c r="F250" i="4"/>
  <c r="G250" i="4"/>
  <c r="F228" i="4"/>
  <c r="G228" i="4"/>
  <c r="F218" i="4"/>
  <c r="G218" i="4"/>
  <c r="F208" i="4"/>
  <c r="G208" i="4"/>
  <c r="E207" i="4"/>
  <c r="F198" i="4"/>
  <c r="G198" i="4"/>
  <c r="F188" i="4"/>
  <c r="G188" i="4"/>
  <c r="K159" i="4"/>
  <c r="L159" i="4" s="1"/>
  <c r="K161" i="4"/>
  <c r="L161" i="4" s="1"/>
  <c r="K152" i="4"/>
  <c r="L152" i="4" s="1"/>
  <c r="F148" i="5"/>
  <c r="G148" i="5" s="1"/>
  <c r="L162" i="5"/>
  <c r="M162" i="5" s="1"/>
  <c r="F184" i="5" s="1"/>
  <c r="G184" i="5" s="1"/>
  <c r="L61" i="5"/>
  <c r="M61" i="5" s="1"/>
  <c r="G81" i="5" s="1"/>
  <c r="I10" i="5"/>
  <c r="L10" i="5" s="1"/>
  <c r="M10" i="5" s="1"/>
  <c r="G176" i="5"/>
  <c r="L159" i="5"/>
  <c r="M159" i="5" s="1"/>
  <c r="L157" i="5"/>
  <c r="M157" i="5" s="1"/>
  <c r="F181" i="5" s="1"/>
  <c r="F85" i="5"/>
  <c r="G85" i="5" s="1"/>
  <c r="G77" i="5"/>
  <c r="L13" i="5"/>
  <c r="M13" i="5" s="1"/>
  <c r="L167" i="5"/>
  <c r="M167" i="5" s="1"/>
  <c r="F185" i="5" s="1"/>
  <c r="L165" i="5"/>
  <c r="M165" i="5" s="1"/>
  <c r="F187" i="5" s="1"/>
  <c r="G187" i="5" s="1"/>
  <c r="L5" i="5"/>
  <c r="M5" i="5" s="1"/>
  <c r="I14" i="5"/>
  <c r="L14" i="5" s="1"/>
  <c r="M14" i="5" s="1"/>
  <c r="L172" i="5"/>
  <c r="M172" i="5" s="1"/>
  <c r="I7" i="5"/>
  <c r="L7" i="5" s="1"/>
  <c r="M7" i="5" s="1"/>
  <c r="I6" i="5"/>
  <c r="L6" i="5" s="1"/>
  <c r="M6" i="5" s="1"/>
  <c r="F87" i="5"/>
  <c r="G87" i="5" s="1"/>
  <c r="L174" i="5"/>
  <c r="M174" i="5" s="1"/>
  <c r="L42" i="5"/>
  <c r="M42" i="5" s="1"/>
  <c r="L57" i="5"/>
  <c r="M57" i="5" s="1"/>
  <c r="L59" i="5"/>
  <c r="M59" i="5" s="1"/>
  <c r="I58" i="5"/>
  <c r="I43" i="5"/>
  <c r="L41" i="5"/>
  <c r="M41" i="5" s="1"/>
  <c r="L15" i="5"/>
  <c r="M15" i="5" s="1"/>
  <c r="L11" i="5"/>
  <c r="M11" i="5" s="1"/>
  <c r="L9" i="5"/>
  <c r="M9" i="5" s="1"/>
  <c r="G178" i="4"/>
  <c r="E22" i="4"/>
  <c r="G77" i="4"/>
  <c r="E55" i="4"/>
  <c r="F55" i="4" s="1"/>
  <c r="F165" i="4" l="1"/>
  <c r="E168" i="4"/>
  <c r="F168" i="4" s="1"/>
  <c r="E167" i="4"/>
  <c r="F167" i="4" s="1"/>
  <c r="F42" i="4"/>
  <c r="E106" i="4"/>
  <c r="F106" i="4" s="1"/>
  <c r="E238" i="4"/>
  <c r="G238" i="4" s="1"/>
  <c r="G240" i="4" s="1"/>
  <c r="G409" i="4"/>
  <c r="F366" i="4"/>
  <c r="G356" i="4"/>
  <c r="G67" i="4"/>
  <c r="E11" i="4"/>
  <c r="F11" i="4" s="1"/>
  <c r="F346" i="4"/>
  <c r="G86" i="4"/>
  <c r="G88" i="4" s="1"/>
  <c r="E144" i="4"/>
  <c r="F144" i="4" s="1"/>
  <c r="E271" i="4"/>
  <c r="F271" i="4" s="1"/>
  <c r="E408" i="4"/>
  <c r="E410" i="4" s="1"/>
  <c r="L407" i="4" s="1"/>
  <c r="E313" i="4"/>
  <c r="F313" i="4" s="1"/>
  <c r="E471" i="4"/>
  <c r="E105" i="4"/>
  <c r="E108" i="4" s="1"/>
  <c r="L104" i="4" s="1"/>
  <c r="E324" i="4"/>
  <c r="G324" i="4" s="1"/>
  <c r="G326" i="4" s="1"/>
  <c r="G449" i="4"/>
  <c r="E249" i="4"/>
  <c r="E251" i="4" s="1"/>
  <c r="L248" i="4" s="1"/>
  <c r="E472" i="4"/>
  <c r="F472" i="4" s="1"/>
  <c r="G30" i="4"/>
  <c r="G31" i="4" s="1"/>
  <c r="F325" i="4"/>
  <c r="F43" i="4"/>
  <c r="E376" i="4"/>
  <c r="F376" i="4" s="1"/>
  <c r="G419" i="4"/>
  <c r="E44" i="4"/>
  <c r="L40" i="4" s="1"/>
  <c r="G473" i="4"/>
  <c r="G143" i="4"/>
  <c r="G127" i="4"/>
  <c r="G128" i="4" s="1"/>
  <c r="F292" i="4"/>
  <c r="G377" i="4"/>
  <c r="G66" i="4"/>
  <c r="E128" i="4"/>
  <c r="L126" i="4" s="1"/>
  <c r="G261" i="4"/>
  <c r="G314" i="4"/>
  <c r="G54" i="4"/>
  <c r="F182" i="5"/>
  <c r="G182" i="5" s="1"/>
  <c r="F188" i="5"/>
  <c r="G188" i="5" s="1"/>
  <c r="L20" i="5"/>
  <c r="M20" i="5" s="1"/>
  <c r="F88" i="5" s="1"/>
  <c r="L19" i="5"/>
  <c r="M19" i="5" s="1"/>
  <c r="L24" i="5"/>
  <c r="M24" i="5" s="1"/>
  <c r="L18" i="5"/>
  <c r="M18" i="5" s="1"/>
  <c r="G185" i="5"/>
  <c r="F41" i="4"/>
  <c r="G41" i="4"/>
  <c r="G44" i="4" s="1"/>
  <c r="E31" i="4"/>
  <c r="L29" i="4" s="1"/>
  <c r="G106" i="4"/>
  <c r="F448" i="4"/>
  <c r="E450" i="4"/>
  <c r="L447" i="4" s="1"/>
  <c r="G448" i="4"/>
  <c r="F125" i="5"/>
  <c r="G125" i="5" s="1"/>
  <c r="L43" i="5"/>
  <c r="M43" i="5" s="1"/>
  <c r="L52" i="5"/>
  <c r="M52" i="5" s="1"/>
  <c r="L46" i="5"/>
  <c r="M46" i="5" s="1"/>
  <c r="G178" i="5"/>
  <c r="L114" i="5"/>
  <c r="M114" i="5" s="1"/>
  <c r="L102" i="5"/>
  <c r="M102" i="5" s="1"/>
  <c r="L99" i="5"/>
  <c r="M99" i="5" s="1"/>
  <c r="F127" i="5" s="1"/>
  <c r="G127" i="5" s="1"/>
  <c r="F438" i="4"/>
  <c r="E440" i="4"/>
  <c r="L437" i="4" s="1"/>
  <c r="G438" i="4"/>
  <c r="F428" i="4"/>
  <c r="E430" i="4"/>
  <c r="L427" i="4" s="1"/>
  <c r="G428" i="4"/>
  <c r="G430" i="4" s="1"/>
  <c r="F418" i="4"/>
  <c r="E420" i="4"/>
  <c r="L417" i="4" s="1"/>
  <c r="G418" i="4"/>
  <c r="F397" i="4"/>
  <c r="E399" i="4"/>
  <c r="L396" i="4" s="1"/>
  <c r="G397" i="4"/>
  <c r="G399" i="4" s="1"/>
  <c r="F386" i="4"/>
  <c r="E388" i="4"/>
  <c r="L385" i="4" s="1"/>
  <c r="G386" i="4"/>
  <c r="G388" i="4" s="1"/>
  <c r="F365" i="4"/>
  <c r="G365" i="4"/>
  <c r="G367" i="4" s="1"/>
  <c r="E367" i="4"/>
  <c r="L364" i="4" s="1"/>
  <c r="F355" i="4"/>
  <c r="E357" i="4"/>
  <c r="L354" i="4" s="1"/>
  <c r="G355" i="4"/>
  <c r="G357" i="4" s="1"/>
  <c r="F345" i="4"/>
  <c r="E347" i="4"/>
  <c r="L344" i="4" s="1"/>
  <c r="G345" i="4"/>
  <c r="G347" i="4" s="1"/>
  <c r="F302" i="4"/>
  <c r="E304" i="4"/>
  <c r="L301" i="4" s="1"/>
  <c r="G302" i="4"/>
  <c r="G304" i="4" s="1"/>
  <c r="F291" i="4"/>
  <c r="E293" i="4"/>
  <c r="L290" i="4" s="1"/>
  <c r="G291" i="4"/>
  <c r="G293" i="4" s="1"/>
  <c r="G281" i="4"/>
  <c r="G283" i="4" s="1"/>
  <c r="F281" i="4"/>
  <c r="E283" i="4"/>
  <c r="L280" i="4" s="1"/>
  <c r="G272" i="4"/>
  <c r="F239" i="4"/>
  <c r="G260" i="4"/>
  <c r="F260" i="4"/>
  <c r="E262" i="4"/>
  <c r="L259" i="4" s="1"/>
  <c r="F227" i="4"/>
  <c r="E229" i="4"/>
  <c r="L226" i="4" s="1"/>
  <c r="G227" i="4"/>
  <c r="G229" i="4" s="1"/>
  <c r="F217" i="4"/>
  <c r="E219" i="4"/>
  <c r="L216" i="4" s="1"/>
  <c r="G217" i="4"/>
  <c r="G219" i="4" s="1"/>
  <c r="E209" i="4"/>
  <c r="L206" i="4" s="1"/>
  <c r="G207" i="4"/>
  <c r="G209" i="4" s="1"/>
  <c r="F207" i="4"/>
  <c r="F197" i="4"/>
  <c r="E199" i="4"/>
  <c r="L196" i="4" s="1"/>
  <c r="G197" i="4"/>
  <c r="G199" i="4" s="1"/>
  <c r="F187" i="4"/>
  <c r="E189" i="4"/>
  <c r="L186" i="4" s="1"/>
  <c r="G187" i="4"/>
  <c r="G189" i="4" s="1"/>
  <c r="G22" i="4"/>
  <c r="F22" i="4"/>
  <c r="G145" i="4"/>
  <c r="G177" i="5"/>
  <c r="G183" i="5"/>
  <c r="G181" i="5"/>
  <c r="L142" i="5"/>
  <c r="M142" i="5" s="1"/>
  <c r="L141" i="5"/>
  <c r="M141" i="5" s="1"/>
  <c r="L58" i="5"/>
  <c r="M58" i="5" s="1"/>
  <c r="G177" i="4"/>
  <c r="G179" i="4" s="1"/>
  <c r="E179" i="4"/>
  <c r="L176" i="4" s="1"/>
  <c r="E23" i="4"/>
  <c r="L20" i="4" s="1"/>
  <c r="G21" i="4"/>
  <c r="G76" i="4"/>
  <c r="G78" i="4" s="1"/>
  <c r="E78" i="4"/>
  <c r="L75" i="4" s="1"/>
  <c r="E68" i="4"/>
  <c r="L64" i="4" s="1"/>
  <c r="G65" i="4"/>
  <c r="G55" i="4"/>
  <c r="G53" i="4"/>
  <c r="E56" i="4"/>
  <c r="L52" i="4" s="1"/>
  <c r="G12" i="4"/>
  <c r="G167" i="4" l="1"/>
  <c r="E480" i="4" s="1"/>
  <c r="F238" i="4"/>
  <c r="E240" i="4"/>
  <c r="L237" i="4" s="1"/>
  <c r="G313" i="4"/>
  <c r="E13" i="4"/>
  <c r="L10" i="4" s="1"/>
  <c r="E326" i="4"/>
  <c r="L323" i="4" s="1"/>
  <c r="F324" i="4"/>
  <c r="F408" i="4"/>
  <c r="G420" i="4"/>
  <c r="G11" i="4"/>
  <c r="G408" i="4"/>
  <c r="G410" i="4" s="1"/>
  <c r="G262" i="4"/>
  <c r="E315" i="4"/>
  <c r="L312" i="4" s="1"/>
  <c r="E146" i="4"/>
  <c r="L142" i="4" s="1"/>
  <c r="F249" i="4"/>
  <c r="G249" i="4"/>
  <c r="G251" i="4" s="1"/>
  <c r="E273" i="4"/>
  <c r="L270" i="4" s="1"/>
  <c r="G271" i="4"/>
  <c r="G376" i="4"/>
  <c r="G144" i="4"/>
  <c r="E474" i="4"/>
  <c r="L470" i="4" s="1"/>
  <c r="F471" i="4"/>
  <c r="G471" i="4"/>
  <c r="G472" i="4"/>
  <c r="F105" i="4"/>
  <c r="G105" i="4"/>
  <c r="G108" i="4" s="1"/>
  <c r="E378" i="4"/>
  <c r="L375" i="4" s="1"/>
  <c r="G68" i="4"/>
  <c r="G315" i="4"/>
  <c r="G378" i="4"/>
  <c r="F149" i="5"/>
  <c r="G149" i="5" s="1"/>
  <c r="G450" i="4"/>
  <c r="F126" i="5"/>
  <c r="F128" i="5" s="1"/>
  <c r="G440" i="4"/>
  <c r="L48" i="5"/>
  <c r="L47" i="5"/>
  <c r="M47" i="5" s="1"/>
  <c r="G273" i="4"/>
  <c r="G23" i="4"/>
  <c r="E169" i="4"/>
  <c r="G168" i="4"/>
  <c r="E481" i="4" s="1"/>
  <c r="G144" i="5"/>
  <c r="G179" i="5"/>
  <c r="G180" i="5"/>
  <c r="G56" i="4"/>
  <c r="G13" i="4"/>
  <c r="G146" i="4" l="1"/>
  <c r="E478" i="4"/>
  <c r="E479" i="4"/>
  <c r="F129" i="5"/>
  <c r="E477" i="4"/>
  <c r="G474" i="4"/>
  <c r="G126" i="5"/>
  <c r="I49" i="5"/>
  <c r="M48" i="5"/>
  <c r="G169" i="4"/>
  <c r="F189" i="5"/>
  <c r="F193" i="5" s="1"/>
  <c r="F150" i="5"/>
  <c r="J143" i="5" s="1"/>
  <c r="E482" i="4" l="1"/>
  <c r="L49" i="5"/>
  <c r="M49" i="5" s="1"/>
  <c r="J175" i="5"/>
  <c r="F190" i="5"/>
  <c r="F151" i="5"/>
  <c r="L53" i="5" l="1"/>
  <c r="M53" i="5" s="1"/>
  <c r="F80" i="5" s="1"/>
  <c r="G80" i="5" s="1"/>
  <c r="L55" i="5" l="1"/>
  <c r="M55" i="5" s="1"/>
  <c r="L54" i="5"/>
  <c r="M54" i="5" s="1"/>
  <c r="F82" i="5" l="1"/>
  <c r="G82" i="5" s="1"/>
  <c r="F83" i="5"/>
  <c r="G79" i="5"/>
  <c r="F89" i="5" l="1"/>
  <c r="F192" i="5" s="1"/>
  <c r="G83" i="5"/>
  <c r="G78" i="5"/>
  <c r="J76" i="5" l="1"/>
  <c r="F194" i="5"/>
  <c r="F90" i="5"/>
</calcChain>
</file>

<file path=xl/sharedStrings.xml><?xml version="1.0" encoding="utf-8"?>
<sst xmlns="http://schemas.openxmlformats.org/spreadsheetml/2006/main" count="2330" uniqueCount="289">
  <si>
    <t>Poz 
NR</t>
  </si>
  <si>
    <t>Profil</t>
  </si>
  <si>
    <t>Masa
[kg/m]</t>
  </si>
  <si>
    <t>Długość
[mm]</t>
  </si>
  <si>
    <t>Ilość
[szt.]</t>
  </si>
  <si>
    <t>Materiał</t>
  </si>
  <si>
    <t>1 szt.</t>
  </si>
  <si>
    <t>razem</t>
  </si>
  <si>
    <t>SUMY</t>
  </si>
  <si>
    <t>Razem:</t>
  </si>
  <si>
    <t>1</t>
  </si>
  <si>
    <t>2</t>
  </si>
  <si>
    <t>3</t>
  </si>
  <si>
    <t>#</t>
  </si>
  <si>
    <t>Uwagi</t>
  </si>
  <si>
    <t>sztuk :</t>
  </si>
  <si>
    <t>Długość
[cm]</t>
  </si>
  <si>
    <t>IPE</t>
  </si>
  <si>
    <t>RB500W</t>
  </si>
  <si>
    <t>1.1</t>
  </si>
  <si>
    <t>ST1</t>
  </si>
  <si>
    <t>strzemię 54x20</t>
  </si>
  <si>
    <t>pręty proste</t>
  </si>
  <si>
    <t>strzemię 20x15</t>
  </si>
  <si>
    <t>2.1</t>
  </si>
  <si>
    <t>2.2</t>
  </si>
  <si>
    <t>4</t>
  </si>
  <si>
    <t>ST2</t>
  </si>
  <si>
    <t>ST3</t>
  </si>
  <si>
    <t>strzemię 20x20</t>
  </si>
  <si>
    <t>strzemię 20x10</t>
  </si>
  <si>
    <t>B1</t>
  </si>
  <si>
    <t>B2</t>
  </si>
  <si>
    <t>B3</t>
  </si>
  <si>
    <t>B4</t>
  </si>
  <si>
    <t>belka</t>
  </si>
  <si>
    <t>T1</t>
  </si>
  <si>
    <t>T2</t>
  </si>
  <si>
    <t>tężniki</t>
  </si>
  <si>
    <t>RK</t>
  </si>
  <si>
    <t>60x60x4</t>
  </si>
  <si>
    <t>1.2</t>
  </si>
  <si>
    <t>1.3</t>
  </si>
  <si>
    <t>L70x40</t>
  </si>
  <si>
    <t>strzemię 34x34</t>
  </si>
  <si>
    <t>1a.1</t>
  </si>
  <si>
    <t>1a.2</t>
  </si>
  <si>
    <t>1a.3</t>
  </si>
  <si>
    <t>strzemię 19x19</t>
  </si>
  <si>
    <t>L85x35</t>
  </si>
  <si>
    <t>5</t>
  </si>
  <si>
    <t>6</t>
  </si>
  <si>
    <t>strzemię 30x30</t>
  </si>
  <si>
    <t>strzemię 30x20</t>
  </si>
  <si>
    <t>dot. rys. KF1 - Ławy</t>
  </si>
  <si>
    <t>dot. rys. KF1 - startery rdzeni R.1</t>
  </si>
  <si>
    <t>dot. rys. KF2 - Stopa FS1</t>
  </si>
  <si>
    <t>dot. rys. KF2 - Stopa FS1a</t>
  </si>
  <si>
    <t>dot. rys. KF2 - Stopa FS2</t>
  </si>
  <si>
    <t>dot. rys. KB1 - Podciągi P1-P4</t>
  </si>
  <si>
    <t>BL1</t>
  </si>
  <si>
    <t>BL2</t>
  </si>
  <si>
    <t>BL3</t>
  </si>
  <si>
    <t>BL</t>
  </si>
  <si>
    <t>235x10</t>
  </si>
  <si>
    <t>135x10</t>
  </si>
  <si>
    <t>54x10</t>
  </si>
  <si>
    <t>BL4</t>
  </si>
  <si>
    <t>140x6</t>
  </si>
  <si>
    <t>B7</t>
  </si>
  <si>
    <t>7</t>
  </si>
  <si>
    <t>B5</t>
  </si>
  <si>
    <t>B6.1</t>
  </si>
  <si>
    <t>B6.2</t>
  </si>
  <si>
    <t>CE</t>
  </si>
  <si>
    <t>T2.1</t>
  </si>
  <si>
    <t>T2.2</t>
  </si>
  <si>
    <t>T2.3</t>
  </si>
  <si>
    <t>T2.4</t>
  </si>
  <si>
    <t>T2.5</t>
  </si>
  <si>
    <t>T2.6</t>
  </si>
  <si>
    <t>T2.7</t>
  </si>
  <si>
    <t>T3</t>
  </si>
  <si>
    <t>T4</t>
  </si>
  <si>
    <t>S235JR</t>
  </si>
  <si>
    <t>szt.</t>
  </si>
  <si>
    <t>belka ryglówki</t>
  </si>
  <si>
    <t>belka dachowa</t>
  </si>
  <si>
    <t>słup</t>
  </si>
  <si>
    <t>HEA</t>
  </si>
  <si>
    <t>BL5</t>
  </si>
  <si>
    <t>B8.1</t>
  </si>
  <si>
    <t>B8.2</t>
  </si>
  <si>
    <t>B9.1</t>
  </si>
  <si>
    <t>B9.2</t>
  </si>
  <si>
    <t>-</t>
  </si>
  <si>
    <t>RP</t>
  </si>
  <si>
    <t>120x60x4</t>
  </si>
  <si>
    <t>ryglówka</t>
  </si>
  <si>
    <t>160x90x4,5</t>
  </si>
  <si>
    <t>BL6</t>
  </si>
  <si>
    <t>200x12</t>
  </si>
  <si>
    <t>100x6</t>
  </si>
  <si>
    <t>95x12</t>
  </si>
  <si>
    <t>200x15</t>
  </si>
  <si>
    <t>240x20</t>
  </si>
  <si>
    <t>blacha</t>
  </si>
  <si>
    <t>spoiny 1,5%:</t>
  </si>
  <si>
    <t>kg</t>
  </si>
  <si>
    <t>Łącznie stal S235JR</t>
  </si>
  <si>
    <t>Spoiny:</t>
  </si>
  <si>
    <t>łącznik</t>
  </si>
  <si>
    <t>nr</t>
  </si>
  <si>
    <t>a</t>
  </si>
  <si>
    <t>poł.</t>
  </si>
  <si>
    <t>HILTI HIT-V M16x150 + żywica HIT-HY 200-A</t>
  </si>
  <si>
    <t>całk.</t>
  </si>
  <si>
    <t>M20x65 kl.8.8</t>
  </si>
  <si>
    <t>M12x60 kl.5.8</t>
  </si>
  <si>
    <t>b</t>
  </si>
  <si>
    <t>c</t>
  </si>
  <si>
    <t>d</t>
  </si>
  <si>
    <t>HILTI HIT-V M12x150 + żywica HIT-HY 200-A</t>
  </si>
  <si>
    <t>Masa [kg]</t>
  </si>
  <si>
    <t>STAL ZBROJENIOWA</t>
  </si>
  <si>
    <t>8</t>
  </si>
  <si>
    <t>sta1</t>
  </si>
  <si>
    <t>sta2</t>
  </si>
  <si>
    <t>strzemię 20x20 co15/25cm</t>
  </si>
  <si>
    <t>L115x35</t>
  </si>
  <si>
    <t>figury wg rys.</t>
  </si>
  <si>
    <t>Płatew zimnogięta</t>
  </si>
  <si>
    <t>Z350x2,0</t>
  </si>
  <si>
    <t>[m]</t>
  </si>
  <si>
    <t>[kg/m]</t>
  </si>
  <si>
    <t>[kg]</t>
  </si>
  <si>
    <t>L256x40</t>
  </si>
  <si>
    <t>L318x40</t>
  </si>
  <si>
    <t>pręt odgięty 2cm</t>
  </si>
  <si>
    <t>L401x40</t>
  </si>
  <si>
    <t>kątownik zimnogięty</t>
  </si>
  <si>
    <t>wg rys.</t>
  </si>
  <si>
    <t>WM1</t>
  </si>
  <si>
    <t>WM2</t>
  </si>
  <si>
    <t>wymian</t>
  </si>
  <si>
    <t>84x6</t>
  </si>
  <si>
    <t>29x6</t>
  </si>
  <si>
    <t>WM3</t>
  </si>
  <si>
    <t>WM4</t>
  </si>
  <si>
    <t>B4L</t>
  </si>
  <si>
    <t>B4P</t>
  </si>
  <si>
    <t>62x6</t>
  </si>
  <si>
    <t>dot. rys. KS4 - Konstrukcja stalowa łącznika</t>
  </si>
  <si>
    <t>dot. rys. KS1 i 2 - Konstrukcja stalowa dachu</t>
  </si>
  <si>
    <t>dot. rys. KS3 - Wymiany dachowe</t>
  </si>
  <si>
    <t>dot. rys. KS5 - Konstrukcja stalowa wiaty</t>
  </si>
  <si>
    <t>M12x40 kl.5.8</t>
  </si>
  <si>
    <t>dot. rys. KB2 - Rdzeń R.1.25</t>
  </si>
  <si>
    <t>dot. rys. KB2 - Rdzeń R.1.24</t>
  </si>
  <si>
    <t>dot. rys. KB2 - Rdzeń R.1.23</t>
  </si>
  <si>
    <t>dot. rys. KB2 - Rdzeń R.1.21</t>
  </si>
  <si>
    <t>dot. rys. KB2 - Rdzeń R.1.22</t>
  </si>
  <si>
    <t>dot. rys. KB2 - Rdzeń R.1.20</t>
  </si>
  <si>
    <t>dot. rys. KB2 - Rdzeń R.1.19</t>
  </si>
  <si>
    <t>dot. rys. KB2 - Rdzeń R.1.16</t>
  </si>
  <si>
    <t>dot. rys. KB2 - Rdzeń R.1.17</t>
  </si>
  <si>
    <t>dot. rys. KB2 - Rdzeń R.1.18</t>
  </si>
  <si>
    <t>dot. rys. KB2 - Rdzeń R.1.15</t>
  </si>
  <si>
    <t>dot. rys. KB2 - Rdzeń R.1.14</t>
  </si>
  <si>
    <t>dot. rys. KB2 - Rdzeń R.1.13</t>
  </si>
  <si>
    <t>dot. rys. KB2 - Rdzeń R.1.11</t>
  </si>
  <si>
    <t>dot. rys. KB2 - Rdzeń R.1.12</t>
  </si>
  <si>
    <t>dot. rys. KB2 - Rdzeń R.1.10</t>
  </si>
  <si>
    <t>dot. rys. KB2 - Rdzeń R.1.9</t>
  </si>
  <si>
    <t>dot. rys. KB2 - Rdzeń R.1.8</t>
  </si>
  <si>
    <t>dot. rys. KB2 - Rdzeń R.1.5</t>
  </si>
  <si>
    <t>dot. rys. KB2 - Rdzeń R.1.6</t>
  </si>
  <si>
    <t>dot. rys. KB2 - Rdzeń R.1.7</t>
  </si>
  <si>
    <t>dot. rys. KB2 - Rdzeń R.1.3</t>
  </si>
  <si>
    <t>dot. rys. KB2 - Rdzeń R.1.2</t>
  </si>
  <si>
    <t>dot. rys. KB2 - Rdzeń R.1.4</t>
  </si>
  <si>
    <t>dot. rys. KB2 - Rdzeń R.1.1</t>
  </si>
  <si>
    <t>dot. rys. KB2 - Rdzeń R.1.26</t>
  </si>
  <si>
    <t>strzemię 17x30</t>
  </si>
  <si>
    <t>prosty</t>
  </si>
  <si>
    <t>STA1</t>
  </si>
  <si>
    <t>SP</t>
  </si>
  <si>
    <t>spinki do ścian</t>
  </si>
  <si>
    <t>zbrojenie pionowe ścian/startery</t>
  </si>
  <si>
    <t>U195x40</t>
  </si>
  <si>
    <t>L255x40</t>
  </si>
  <si>
    <t>L244x40</t>
  </si>
  <si>
    <t>9</t>
  </si>
  <si>
    <t>7a</t>
  </si>
  <si>
    <t>7b</t>
  </si>
  <si>
    <t>U187x18</t>
  </si>
  <si>
    <t>dot. rys. KF1 W1-W1 uskok ławy fundamentowej</t>
  </si>
  <si>
    <t>pręty proste docinane na budowie łączone na zakład 50cm</t>
  </si>
  <si>
    <t>U142x18</t>
  </si>
  <si>
    <t>dot. rys. KF1 - SC1 ściana fundamentowa</t>
  </si>
  <si>
    <t>S355JR</t>
  </si>
  <si>
    <t>kotwy wklejanie kl.5.8 M12x150 + żywica</t>
  </si>
  <si>
    <t>S1</t>
  </si>
  <si>
    <t>BL8</t>
  </si>
  <si>
    <t>BL7</t>
  </si>
  <si>
    <t>330x8</t>
  </si>
  <si>
    <t>160x16</t>
  </si>
  <si>
    <t>6.1</t>
  </si>
  <si>
    <t>6.2</t>
  </si>
  <si>
    <t>kotwy wklejanie kl.5.8 M16x200 + żywica</t>
  </si>
  <si>
    <t>2xkotwy wklejane M16x200 kl.5.8 + żywica</t>
  </si>
  <si>
    <t xml:space="preserve">6xM12x80 kl.8.8
</t>
  </si>
  <si>
    <t>216x10</t>
  </si>
  <si>
    <t>WM5</t>
  </si>
  <si>
    <t>WM6</t>
  </si>
  <si>
    <t>B3L</t>
  </si>
  <si>
    <t>B3P</t>
  </si>
  <si>
    <t>B4La</t>
  </si>
  <si>
    <t>B4Pa</t>
  </si>
  <si>
    <t>55x6</t>
  </si>
  <si>
    <t>WM7</t>
  </si>
  <si>
    <t>10</t>
  </si>
  <si>
    <t>11</t>
  </si>
  <si>
    <t>12</t>
  </si>
  <si>
    <t>13</t>
  </si>
  <si>
    <t>14</t>
  </si>
  <si>
    <t>strzemię 20x20 co25cm</t>
  </si>
  <si>
    <t>L240x60</t>
  </si>
  <si>
    <t>L294x60</t>
  </si>
  <si>
    <t>gięty wg rys.</t>
  </si>
  <si>
    <t>L577x60</t>
  </si>
  <si>
    <t>dot. rys. KB3 - Elementy żelbetowe wiaty</t>
  </si>
  <si>
    <t>strzemię 20x33</t>
  </si>
  <si>
    <t>L411x40</t>
  </si>
  <si>
    <t>strzemię 20x13</t>
  </si>
  <si>
    <t>L394x40</t>
  </si>
  <si>
    <t>Łącznie stal S355JR</t>
  </si>
  <si>
    <t>150x5</t>
  </si>
  <si>
    <t>L88x40</t>
  </si>
  <si>
    <t>BL9</t>
  </si>
  <si>
    <t>190x10</t>
  </si>
  <si>
    <t>dot. rys. KF2 - Ława FL.4</t>
  </si>
  <si>
    <t>strzemię 40x30</t>
  </si>
  <si>
    <t>L389x40</t>
  </si>
  <si>
    <t>L393x40</t>
  </si>
  <si>
    <t>L364x40</t>
  </si>
  <si>
    <t>L402x40</t>
  </si>
  <si>
    <t>L201x40</t>
  </si>
  <si>
    <t>STAL ZBROJENIOWA W ZAKŁADCE OBOK</t>
  </si>
  <si>
    <t>Σ</t>
  </si>
  <si>
    <t>L60x3,0</t>
  </si>
  <si>
    <t>dot. rys. KB2 - Rdzeń R.1.15A</t>
  </si>
  <si>
    <t>dot. rys. KF3 - Płyta fundamentowa h=20cm</t>
  </si>
  <si>
    <t>dot. rys. KF5 W2-W2 uskok ławy fundamentowej</t>
  </si>
  <si>
    <t>dot. rys. KF4 - Płyta fundamentowa h=30cm</t>
  </si>
  <si>
    <t>e</t>
  </si>
  <si>
    <t>kotwy wklejanie kl.5.8 M10x120 co 50cm + żywica</t>
  </si>
  <si>
    <t>dot. rys. KB1 - Wieńce W1-W4, dozbrojenia nad otworami</t>
  </si>
  <si>
    <t>ST4</t>
  </si>
  <si>
    <t>strzemię 10x10</t>
  </si>
  <si>
    <t>ST1.1</t>
  </si>
  <si>
    <t>ST1.2</t>
  </si>
  <si>
    <t>strzemię 20x31</t>
  </si>
  <si>
    <t>HEB</t>
  </si>
  <si>
    <t>Bp-1</t>
  </si>
  <si>
    <t>dot. rys. KS6 - Podkonstrukcje pod centrale wentylacyjne</t>
  </si>
  <si>
    <t>Bp-2</t>
  </si>
  <si>
    <t>150x10</t>
  </si>
  <si>
    <t>Bp-3</t>
  </si>
  <si>
    <t>Sp-1</t>
  </si>
  <si>
    <t>słupek</t>
  </si>
  <si>
    <t>180x10</t>
  </si>
  <si>
    <t>100x10</t>
  </si>
  <si>
    <t>Bp-4</t>
  </si>
  <si>
    <t>kotwy wklejanie kl.8.8 M12x150 + żywica</t>
  </si>
  <si>
    <t>M12x50 kl.8.8</t>
  </si>
  <si>
    <t>Bp-5</t>
  </si>
  <si>
    <t>L.p-1</t>
  </si>
  <si>
    <t>L.p-2</t>
  </si>
  <si>
    <t>BL.4</t>
  </si>
  <si>
    <t>L</t>
  </si>
  <si>
    <t>60x60x5</t>
  </si>
  <si>
    <t>50x5</t>
  </si>
  <si>
    <t>25x6</t>
  </si>
  <si>
    <t>kątownik</t>
  </si>
  <si>
    <t>BL.5</t>
  </si>
  <si>
    <t>kotwy mechaniczne kl.8.8 M10x110/30</t>
  </si>
  <si>
    <t>M10x45 kl.8.8</t>
  </si>
  <si>
    <t>dot. rys. KS7 - Podkonstrukcje pod pomost techniczny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</si>
</sst>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0"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2">
    <xf numFmtId="0" fontId="0" fillId="0" borderId="0">
      <alignment horizontal="center" vertical="center"/>
    </xf>
    <xf numFmtId="0" fontId="1" fillId="2" borderId="0" applyNumberFormat="0" applyBorder="0" applyProtection="0">
      <alignment horizontal="center" vertical="center"/>
    </xf>
    <xf numFmtId="0" fontId="1" fillId="3" borderId="0" applyNumberFormat="0" applyBorder="0" applyProtection="0">
      <alignment horizontal="center" vertical="center"/>
    </xf>
    <xf numFmtId="0" fontId="1" fillId="4" borderId="0" applyNumberFormat="0" applyBorder="0" applyProtection="0">
      <alignment horizontal="center" vertical="center"/>
    </xf>
    <xf numFmtId="0" fontId="1" fillId="5" borderId="0" applyNumberFormat="0" applyBorder="0" applyProtection="0">
      <alignment horizontal="center" vertical="center"/>
    </xf>
    <xf numFmtId="0" fontId="1" fillId="6" borderId="0" applyNumberFormat="0" applyBorder="0" applyProtection="0">
      <alignment horizontal="center" vertical="center"/>
    </xf>
    <xf numFmtId="0" fontId="1" fillId="7" borderId="0" applyNumberFormat="0" applyBorder="0" applyProtection="0">
      <alignment horizontal="center" vertical="center"/>
    </xf>
    <xf numFmtId="0" fontId="1" fillId="8" borderId="0" applyNumberFormat="0" applyBorder="0" applyProtection="0">
      <alignment horizontal="center" vertical="center"/>
    </xf>
    <xf numFmtId="0" fontId="1" fillId="9" borderId="0" applyNumberFormat="0" applyBorder="0" applyProtection="0">
      <alignment horizontal="center" vertical="center"/>
    </xf>
    <xf numFmtId="0" fontId="1" fillId="10" borderId="0" applyNumberFormat="0" applyBorder="0" applyProtection="0">
      <alignment horizontal="center" vertical="center"/>
    </xf>
    <xf numFmtId="0" fontId="1" fillId="5" borderId="0" applyNumberFormat="0" applyBorder="0" applyProtection="0">
      <alignment horizontal="center" vertical="center"/>
    </xf>
    <xf numFmtId="0" fontId="1" fillId="8" borderId="0" applyNumberFormat="0" applyBorder="0" applyProtection="0">
      <alignment horizontal="center" vertical="center"/>
    </xf>
    <xf numFmtId="0" fontId="1" fillId="11" borderId="0" applyNumberFormat="0" applyBorder="0" applyProtection="0">
      <alignment horizontal="center" vertical="center"/>
    </xf>
    <xf numFmtId="0" fontId="2" fillId="12" borderId="0" applyNumberFormat="0" applyBorder="0" applyProtection="0">
      <alignment horizontal="center" vertical="center"/>
    </xf>
    <xf numFmtId="0" fontId="2" fillId="9" borderId="0" applyNumberFormat="0" applyBorder="0" applyProtection="0">
      <alignment horizontal="center" vertical="center"/>
    </xf>
    <xf numFmtId="0" fontId="2" fillId="10" borderId="0" applyNumberFormat="0" applyBorder="0" applyProtection="0">
      <alignment horizontal="center" vertical="center"/>
    </xf>
    <xf numFmtId="0" fontId="2" fillId="13" borderId="0" applyNumberFormat="0" applyBorder="0" applyProtection="0">
      <alignment horizontal="center" vertical="center"/>
    </xf>
    <xf numFmtId="0" fontId="2" fillId="14" borderId="0" applyNumberFormat="0" applyBorder="0" applyProtection="0">
      <alignment horizontal="center" vertical="center"/>
    </xf>
    <xf numFmtId="0" fontId="2" fillId="15" borderId="0" applyNumberFormat="0" applyBorder="0" applyProtection="0">
      <alignment horizontal="center" vertical="center"/>
    </xf>
    <xf numFmtId="0" fontId="2" fillId="16" borderId="0" applyNumberFormat="0" applyBorder="0" applyProtection="0">
      <alignment horizontal="center" vertical="center"/>
    </xf>
    <xf numFmtId="0" fontId="2" fillId="17" borderId="0" applyNumberFormat="0" applyBorder="0" applyProtection="0">
      <alignment horizontal="center" vertical="center"/>
    </xf>
    <xf numFmtId="0" fontId="2" fillId="18" borderId="0" applyNumberFormat="0" applyBorder="0" applyProtection="0">
      <alignment horizontal="center" vertical="center"/>
    </xf>
    <xf numFmtId="0" fontId="2" fillId="13" borderId="0" applyNumberFormat="0" applyBorder="0" applyProtection="0">
      <alignment horizontal="center" vertical="center"/>
    </xf>
    <xf numFmtId="0" fontId="2" fillId="14" borderId="0" applyNumberFormat="0" applyBorder="0" applyProtection="0">
      <alignment horizontal="center" vertical="center"/>
    </xf>
    <xf numFmtId="0" fontId="2" fillId="19" borderId="0" applyNumberFormat="0" applyBorder="0" applyProtection="0">
      <alignment horizontal="center" vertical="center"/>
    </xf>
    <xf numFmtId="0" fontId="3" fillId="7" borderId="1" applyNumberFormat="0" applyProtection="0">
      <alignment horizontal="center" vertical="center"/>
    </xf>
    <xf numFmtId="0" fontId="4" fillId="20" borderId="2" applyNumberFormat="0" applyProtection="0">
      <alignment horizontal="center" vertical="center"/>
    </xf>
    <xf numFmtId="0" fontId="5" fillId="4" borderId="0" applyNumberFormat="0" applyBorder="0" applyProtection="0">
      <alignment horizontal="center" vertical="center"/>
    </xf>
    <xf numFmtId="0" fontId="6" fillId="0" borderId="3" applyNumberFormat="0" applyFill="0" applyProtection="0">
      <alignment horizontal="center" vertical="center"/>
    </xf>
    <xf numFmtId="0" fontId="7" fillId="21" borderId="4" applyNumberFormat="0" applyProtection="0">
      <alignment horizontal="center" vertical="center"/>
    </xf>
    <xf numFmtId="0" fontId="8" fillId="0" borderId="5" applyNumberFormat="0" applyFill="0" applyProtection="0">
      <alignment horizontal="center" vertical="center"/>
    </xf>
    <xf numFmtId="0" fontId="9" fillId="0" borderId="6" applyNumberFormat="0" applyFill="0" applyProtection="0">
      <alignment horizontal="center" vertical="center"/>
    </xf>
    <xf numFmtId="0" fontId="10" fillId="0" borderId="7" applyNumberFormat="0" applyFill="0" applyProtection="0">
      <alignment horizontal="center" vertical="center"/>
    </xf>
    <xf numFmtId="0" fontId="10" fillId="0" borderId="0" applyNumberFormat="0" applyFill="0" applyBorder="0" applyProtection="0">
      <alignment horizontal="center" vertical="center"/>
    </xf>
    <xf numFmtId="0" fontId="11" fillId="22" borderId="0" applyNumberFormat="0" applyBorder="0" applyProtection="0">
      <alignment horizontal="center" vertical="center"/>
    </xf>
    <xf numFmtId="0" fontId="12" fillId="20" borderId="1" applyNumberFormat="0" applyProtection="0">
      <alignment horizontal="center" vertical="center"/>
    </xf>
    <xf numFmtId="0" fontId="13" fillId="0" borderId="8" applyNumberFormat="0" applyFill="0" applyProtection="0">
      <alignment horizontal="center" vertical="center"/>
    </xf>
    <xf numFmtId="0" fontId="14" fillId="0" borderId="0" applyNumberFormat="0" applyFill="0" applyBorder="0" applyProtection="0">
      <alignment horizontal="center" vertical="center"/>
    </xf>
    <xf numFmtId="0" fontId="15" fillId="0" borderId="0" applyNumberFormat="0" applyFill="0" applyBorder="0" applyProtection="0">
      <alignment horizontal="center" vertical="center"/>
    </xf>
    <xf numFmtId="0" fontId="16" fillId="0" borderId="0" applyNumberFormat="0" applyFill="0" applyBorder="0" applyProtection="0">
      <alignment horizontal="center" vertical="center"/>
    </xf>
    <xf numFmtId="0" fontId="18" fillId="23" borderId="9" applyNumberFormat="0" applyProtection="0">
      <alignment horizontal="center" vertical="center"/>
    </xf>
    <xf numFmtId="0" fontId="17" fillId="3" borderId="0" applyNumberFormat="0" applyBorder="0" applyProtection="0">
      <alignment horizontal="center" vertical="center"/>
    </xf>
  </cellStyleXfs>
  <cellXfs count="284">
    <xf numFmtId="0" fontId="0" fillId="0" borderId="0" xfId="0">
      <alignment horizontal="center" vertical="center"/>
    </xf>
    <xf numFmtId="0" fontId="0" fillId="0" borderId="0" xfId="0" applyFont="1" applyBorder="1">
      <alignment horizontal="center" vertical="center"/>
    </xf>
    <xf numFmtId="0" fontId="0" fillId="0" borderId="0" xfId="0" applyFont="1" applyBorder="1" applyAlignment="1">
      <alignment horizontal="left"/>
    </xf>
    <xf numFmtId="164" fontId="0" fillId="0" borderId="10" xfId="0" applyNumberFormat="1" applyFont="1" applyFill="1" applyBorder="1" applyAlignment="1">
      <alignment horizontal="center"/>
    </xf>
    <xf numFmtId="0" fontId="0" fillId="0" borderId="0" xfId="0" applyFont="1" applyFill="1" applyBorder="1">
      <alignment horizontal="center" vertical="center"/>
    </xf>
    <xf numFmtId="0" fontId="0" fillId="0" borderId="0" xfId="0" applyFont="1" applyFill="1">
      <alignment horizontal="center" vertical="center"/>
    </xf>
    <xf numFmtId="49" fontId="0" fillId="0" borderId="11" xfId="0" applyNumberFormat="1" applyFont="1" applyFill="1" applyBorder="1">
      <alignment horizontal="center" vertical="center"/>
    </xf>
    <xf numFmtId="164" fontId="0" fillId="0" borderId="11" xfId="0" applyNumberFormat="1" applyFont="1" applyFill="1" applyBorder="1" applyAlignment="1">
      <alignment horizontal="left" vertical="center"/>
    </xf>
    <xf numFmtId="49" fontId="0" fillId="0" borderId="0" xfId="0" applyNumberFormat="1" applyFont="1" applyFill="1" applyBorder="1">
      <alignment horizontal="center" vertical="center"/>
    </xf>
    <xf numFmtId="1" fontId="0" fillId="0" borderId="0" xfId="0" applyNumberFormat="1" applyFont="1" applyFill="1" applyBorder="1">
      <alignment horizontal="center" vertical="center"/>
    </xf>
    <xf numFmtId="164" fontId="0" fillId="0" borderId="0" xfId="0" applyNumberFormat="1" applyFont="1" applyFill="1" applyBorder="1">
      <alignment horizontal="center" vertical="center"/>
    </xf>
    <xf numFmtId="2" fontId="0" fillId="0" borderId="0" xfId="0" applyNumberFormat="1" applyFont="1" applyFill="1" applyBorder="1">
      <alignment horizontal="center" vertical="center"/>
    </xf>
    <xf numFmtId="0" fontId="0" fillId="0" borderId="11" xfId="0" applyNumberFormat="1" applyFont="1" applyFill="1" applyBorder="1" applyAlignment="1">
      <alignment horizontal="left" vertical="center"/>
    </xf>
    <xf numFmtId="2" fontId="0" fillId="0" borderId="14" xfId="0" applyNumberFormat="1" applyFont="1" applyFill="1" applyBorder="1" applyAlignment="1">
      <alignment horizontal="right" vertical="center"/>
    </xf>
    <xf numFmtId="2" fontId="0" fillId="0" borderId="11" xfId="0" applyNumberFormat="1" applyFont="1" applyFill="1" applyBorder="1">
      <alignment horizontal="center" vertical="center"/>
    </xf>
    <xf numFmtId="0" fontId="0" fillId="0" borderId="17" xfId="0" applyFont="1" applyFill="1" applyBorder="1" applyAlignment="1">
      <alignment horizontal="left" vertical="center"/>
    </xf>
    <xf numFmtId="0" fontId="0" fillId="0" borderId="11" xfId="0" applyFont="1" applyFill="1" applyBorder="1" applyAlignment="1">
      <alignment horizontal="left" vertical="center"/>
    </xf>
    <xf numFmtId="49" fontId="0" fillId="0" borderId="18" xfId="0" applyNumberFormat="1" applyFont="1" applyFill="1" applyBorder="1">
      <alignment horizontal="center" vertical="center"/>
    </xf>
    <xf numFmtId="0" fontId="0" fillId="0" borderId="14" xfId="0" applyNumberFormat="1" applyFont="1" applyFill="1" applyBorder="1" applyAlignment="1">
      <alignment horizontal="right" vertical="center"/>
    </xf>
    <xf numFmtId="164" fontId="0" fillId="0" borderId="19" xfId="0" applyNumberFormat="1" applyFont="1" applyFill="1" applyBorder="1" applyAlignment="1">
      <alignment horizontal="left" vertical="center"/>
    </xf>
    <xf numFmtId="0" fontId="0" fillId="0" borderId="19" xfId="0" applyFont="1" applyFill="1" applyBorder="1" applyAlignment="1">
      <alignment horizontal="left" vertical="center"/>
    </xf>
    <xf numFmtId="2" fontId="19" fillId="0" borderId="20" xfId="0" applyNumberFormat="1" applyFont="1" applyFill="1" applyBorder="1" applyAlignment="1">
      <alignment horizontal="center" vertical="center"/>
    </xf>
    <xf numFmtId="2" fontId="19" fillId="0" borderId="21" xfId="0" applyNumberFormat="1" applyFont="1" applyFill="1" applyBorder="1" applyAlignment="1">
      <alignment horizontal="center" vertical="center"/>
    </xf>
    <xf numFmtId="2" fontId="0" fillId="0" borderId="22" xfId="0" applyNumberFormat="1" applyFont="1" applyFill="1" applyBorder="1">
      <alignment horizontal="center" vertical="center"/>
    </xf>
    <xf numFmtId="2" fontId="0" fillId="0" borderId="23" xfId="0" applyNumberFormat="1" applyFont="1" applyFill="1" applyBorder="1">
      <alignment horizontal="center" vertical="center"/>
    </xf>
    <xf numFmtId="0" fontId="0" fillId="0" borderId="12" xfId="0" applyFill="1" applyBorder="1">
      <alignment horizontal="center" vertical="center"/>
    </xf>
    <xf numFmtId="2" fontId="0" fillId="0" borderId="35" xfId="0" applyNumberFormat="1" applyFont="1" applyFill="1" applyBorder="1">
      <alignment horizontal="center" vertical="center"/>
    </xf>
    <xf numFmtId="0" fontId="0" fillId="0" borderId="36" xfId="0" applyFill="1" applyBorder="1">
      <alignment horizontal="center" vertical="center"/>
    </xf>
    <xf numFmtId="0" fontId="0" fillId="0" borderId="37" xfId="0" applyFill="1" applyBorder="1">
      <alignment horizontal="center" vertical="center"/>
    </xf>
    <xf numFmtId="0" fontId="0" fillId="0" borderId="10" xfId="0" applyFill="1" applyBorder="1">
      <alignment horizontal="center" vertical="center"/>
    </xf>
    <xf numFmtId="0" fontId="0" fillId="0" borderId="30" xfId="0" applyFill="1" applyBorder="1">
      <alignment horizontal="center" vertical="center"/>
    </xf>
    <xf numFmtId="49" fontId="0" fillId="0" borderId="15" xfId="0" applyNumberFormat="1" applyFill="1" applyBorder="1">
      <alignment horizontal="center" vertical="center"/>
    </xf>
    <xf numFmtId="0" fontId="19" fillId="0" borderId="29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49" fontId="0" fillId="0" borderId="40" xfId="0" applyNumberFormat="1" applyFont="1" applyFill="1" applyBorder="1">
      <alignment horizontal="center" vertical="center"/>
    </xf>
    <xf numFmtId="0" fontId="0" fillId="0" borderId="18" xfId="0" applyFont="1" applyFill="1" applyBorder="1" applyAlignment="1">
      <alignment horizontal="right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horizontal="left" vertical="center"/>
    </xf>
    <xf numFmtId="0" fontId="0" fillId="0" borderId="39" xfId="0" applyFont="1" applyFill="1" applyBorder="1">
      <alignment horizontal="center" vertical="center"/>
    </xf>
    <xf numFmtId="2" fontId="0" fillId="0" borderId="39" xfId="0" applyNumberFormat="1" applyFont="1" applyFill="1" applyBorder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1" fontId="0" fillId="0" borderId="14" xfId="0" applyNumberFormat="1" applyFont="1" applyFill="1" applyBorder="1" applyAlignment="1">
      <alignment horizontal="right" vertical="center"/>
    </xf>
    <xf numFmtId="0" fontId="0" fillId="0" borderId="11" xfId="0" applyNumberFormat="1" applyFill="1" applyBorder="1" applyAlignment="1">
      <alignment horizontal="left" vertical="center"/>
    </xf>
    <xf numFmtId="49" fontId="0" fillId="0" borderId="27" xfId="0" applyNumberFormat="1" applyFont="1" applyFill="1" applyBorder="1">
      <alignment horizontal="center" vertical="center"/>
    </xf>
    <xf numFmtId="0" fontId="0" fillId="0" borderId="27" xfId="0" applyNumberFormat="1" applyFont="1" applyFill="1" applyBorder="1" applyAlignment="1">
      <alignment horizontal="right" vertical="center"/>
    </xf>
    <xf numFmtId="164" fontId="0" fillId="0" borderId="27" xfId="0" applyNumberFormat="1" applyFont="1" applyFill="1" applyBorder="1" applyAlignment="1">
      <alignment horizontal="left" vertical="center"/>
    </xf>
    <xf numFmtId="2" fontId="0" fillId="0" borderId="27" xfId="0" applyNumberFormat="1" applyFont="1" applyFill="1" applyBorder="1" applyAlignment="1" applyProtection="1">
      <alignment horizontal="right" vertical="center"/>
    </xf>
    <xf numFmtId="0" fontId="0" fillId="0" borderId="27" xfId="0" applyFont="1" applyFill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horizontal="left" vertical="center"/>
    </xf>
    <xf numFmtId="2" fontId="0" fillId="0" borderId="0" xfId="0" applyNumberFormat="1" applyFont="1" applyFill="1" applyBorder="1" applyAlignment="1" applyProtection="1">
      <alignment horizontal="right" vertical="center"/>
    </xf>
    <xf numFmtId="49" fontId="0" fillId="0" borderId="11" xfId="0" applyNumberFormat="1" applyFill="1" applyBorder="1">
      <alignment horizontal="center" vertical="center"/>
    </xf>
    <xf numFmtId="2" fontId="0" fillId="0" borderId="10" xfId="0" applyNumberFormat="1" applyFont="1" applyFill="1" applyBorder="1" applyAlignment="1">
      <alignment horizontal="center"/>
    </xf>
    <xf numFmtId="49" fontId="0" fillId="0" borderId="40" xfId="0" applyNumberFormat="1" applyFill="1" applyBorder="1">
      <alignment horizontal="center" vertical="center"/>
    </xf>
    <xf numFmtId="0" fontId="0" fillId="0" borderId="44" xfId="0" applyFill="1" applyBorder="1">
      <alignment horizontal="center" vertical="center"/>
    </xf>
    <xf numFmtId="0" fontId="0" fillId="0" borderId="40" xfId="0" applyNumberFormat="1" applyFont="1" applyFill="1" applyBorder="1" applyAlignment="1">
      <alignment horizontal="left" vertical="center"/>
    </xf>
    <xf numFmtId="2" fontId="0" fillId="0" borderId="37" xfId="0" applyNumberFormat="1" applyFont="1" applyFill="1" applyBorder="1" applyAlignment="1">
      <alignment horizontal="center"/>
    </xf>
    <xf numFmtId="2" fontId="0" fillId="0" borderId="40" xfId="0" applyNumberFormat="1" applyFont="1" applyFill="1" applyBorder="1">
      <alignment horizontal="center" vertical="center"/>
    </xf>
    <xf numFmtId="49" fontId="0" fillId="0" borderId="22" xfId="0" applyNumberFormat="1" applyFill="1" applyBorder="1">
      <alignment horizontal="center" vertical="center"/>
    </xf>
    <xf numFmtId="0" fontId="0" fillId="0" borderId="22" xfId="0" applyNumberFormat="1" applyFill="1" applyBorder="1" applyAlignment="1">
      <alignment horizontal="left" vertical="center"/>
    </xf>
    <xf numFmtId="2" fontId="0" fillId="0" borderId="3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right" vertical="center"/>
    </xf>
    <xf numFmtId="0" fontId="19" fillId="0" borderId="37" xfId="0" applyFont="1" applyFill="1" applyBorder="1" applyAlignment="1">
      <alignment horizontal="left" vertical="center" wrapText="1"/>
    </xf>
    <xf numFmtId="0" fontId="19" fillId="0" borderId="30" xfId="0" applyFont="1" applyFill="1" applyBorder="1" applyAlignment="1">
      <alignment horizontal="left" vertical="center" wrapText="1"/>
    </xf>
    <xf numFmtId="49" fontId="19" fillId="0" borderId="37" xfId="0" applyNumberFormat="1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left" vertical="center" wrapText="1"/>
    </xf>
    <xf numFmtId="49" fontId="19" fillId="0" borderId="43" xfId="0" applyNumberFormat="1" applyFont="1" applyFill="1" applyBorder="1" applyAlignment="1">
      <alignment horizontal="center" vertical="center"/>
    </xf>
    <xf numFmtId="165" fontId="0" fillId="0" borderId="12" xfId="0" applyNumberFormat="1" applyFont="1" applyFill="1" applyBorder="1" applyAlignment="1">
      <alignment horizontal="right" vertical="center"/>
    </xf>
    <xf numFmtId="165" fontId="0" fillId="0" borderId="0" xfId="0" applyNumberFormat="1" applyFont="1" applyFill="1" applyBorder="1">
      <alignment horizontal="center" vertical="center"/>
    </xf>
    <xf numFmtId="0" fontId="0" fillId="0" borderId="46" xfId="0" applyNumberFormat="1" applyFont="1" applyFill="1" applyBorder="1" applyAlignment="1">
      <alignment horizontal="left" vertical="center"/>
    </xf>
    <xf numFmtId="49" fontId="0" fillId="0" borderId="50" xfId="0" applyNumberFormat="1" applyFill="1" applyBorder="1">
      <alignment horizontal="center" vertical="center"/>
    </xf>
    <xf numFmtId="0" fontId="0" fillId="0" borderId="51" xfId="0" applyFill="1" applyBorder="1">
      <alignment horizontal="center" vertical="center"/>
    </xf>
    <xf numFmtId="0" fontId="0" fillId="0" borderId="50" xfId="0" applyNumberFormat="1" applyFill="1" applyBorder="1" applyAlignment="1">
      <alignment horizontal="left" vertical="center"/>
    </xf>
    <xf numFmtId="2" fontId="0" fillId="0" borderId="43" xfId="0" applyNumberFormat="1" applyFont="1" applyFill="1" applyBorder="1" applyAlignment="1">
      <alignment horizontal="center"/>
    </xf>
    <xf numFmtId="0" fontId="0" fillId="0" borderId="43" xfId="0" applyFill="1" applyBorder="1">
      <alignment horizontal="center" vertical="center"/>
    </xf>
    <xf numFmtId="2" fontId="0" fillId="0" borderId="50" xfId="0" applyNumberFormat="1" applyFont="1" applyFill="1" applyBorder="1">
      <alignment horizontal="center" vertical="center"/>
    </xf>
    <xf numFmtId="0" fontId="19" fillId="0" borderId="43" xfId="0" applyFont="1" applyFill="1" applyBorder="1" applyAlignment="1">
      <alignment vertical="center" wrapText="1"/>
    </xf>
    <xf numFmtId="0" fontId="0" fillId="0" borderId="40" xfId="0" applyNumberFormat="1" applyFill="1" applyBorder="1" applyAlignment="1">
      <alignment horizontal="left" vertical="center"/>
    </xf>
    <xf numFmtId="49" fontId="0" fillId="0" borderId="56" xfId="0" applyNumberFormat="1" applyFill="1" applyBorder="1">
      <alignment horizontal="center" vertical="center"/>
    </xf>
    <xf numFmtId="49" fontId="0" fillId="0" borderId="57" xfId="0" applyNumberFormat="1" applyFill="1" applyBorder="1">
      <alignment horizontal="center" vertical="center"/>
    </xf>
    <xf numFmtId="165" fontId="0" fillId="0" borderId="35" xfId="0" applyNumberFormat="1" applyFont="1" applyFill="1" applyBorder="1">
      <alignment horizontal="center" vertical="center"/>
    </xf>
    <xf numFmtId="165" fontId="0" fillId="0" borderId="23" xfId="0" applyNumberFormat="1" applyFont="1" applyFill="1" applyBorder="1">
      <alignment horizontal="center" vertical="center"/>
    </xf>
    <xf numFmtId="165" fontId="0" fillId="0" borderId="47" xfId="0" applyNumberFormat="1" applyFont="1" applyFill="1" applyBorder="1">
      <alignment horizontal="center" vertical="center"/>
    </xf>
    <xf numFmtId="165" fontId="0" fillId="0" borderId="13" xfId="0" applyNumberFormat="1" applyFont="1" applyFill="1" applyBorder="1">
      <alignment horizontal="center" vertical="center"/>
    </xf>
    <xf numFmtId="165" fontId="0" fillId="0" borderId="55" xfId="0" applyNumberFormat="1" applyFont="1" applyFill="1" applyBorder="1">
      <alignment horizontal="center" vertical="center"/>
    </xf>
    <xf numFmtId="0" fontId="0" fillId="0" borderId="0" xfId="0" applyNumberFormat="1" applyFill="1" applyBorder="1" applyAlignment="1">
      <alignment horizontal="left" vertical="center"/>
    </xf>
    <xf numFmtId="0" fontId="0" fillId="0" borderId="11" xfId="0" applyFont="1" applyFill="1" applyBorder="1">
      <alignment horizontal="center" vertical="center"/>
    </xf>
    <xf numFmtId="0" fontId="0" fillId="0" borderId="46" xfId="0" applyNumberFormat="1" applyFill="1" applyBorder="1" applyAlignment="1">
      <alignment horizontal="left" vertical="center"/>
    </xf>
    <xf numFmtId="164" fontId="0" fillId="0" borderId="0" xfId="0" applyNumberFormat="1" applyFill="1" applyBorder="1" applyAlignment="1">
      <alignment horizontal="left" vertical="center"/>
    </xf>
    <xf numFmtId="49" fontId="0" fillId="0" borderId="0" xfId="0" applyNumberFormat="1" applyFill="1" applyBorder="1" applyAlignment="1">
      <alignment horizontal="right" vertical="center"/>
    </xf>
    <xf numFmtId="164" fontId="0" fillId="0" borderId="0" xfId="0" applyNumberFormat="1" applyFill="1" applyBorder="1">
      <alignment horizontal="center" vertical="center"/>
    </xf>
    <xf numFmtId="2" fontId="0" fillId="0" borderId="43" xfId="0" applyNumberFormat="1" applyFill="1" applyBorder="1">
      <alignment horizontal="center" vertical="center"/>
    </xf>
    <xf numFmtId="49" fontId="0" fillId="0" borderId="24" xfId="0" applyNumberFormat="1" applyFill="1" applyBorder="1">
      <alignment horizontal="center" vertical="center"/>
    </xf>
    <xf numFmtId="164" fontId="0" fillId="0" borderId="25" xfId="0" applyNumberFormat="1" applyFill="1" applyBorder="1">
      <alignment horizontal="center" vertical="center"/>
    </xf>
    <xf numFmtId="49" fontId="0" fillId="0" borderId="53" xfId="0" applyNumberFormat="1" applyFont="1" applyFill="1" applyBorder="1">
      <alignment horizontal="center" vertical="center"/>
    </xf>
    <xf numFmtId="165" fontId="0" fillId="0" borderId="52" xfId="0" applyNumberFormat="1" applyFont="1" applyFill="1" applyBorder="1">
      <alignment horizontal="center" vertical="center"/>
    </xf>
    <xf numFmtId="164" fontId="0" fillId="0" borderId="54" xfId="0" applyNumberFormat="1" applyFill="1" applyBorder="1">
      <alignment horizontal="center" vertical="center"/>
    </xf>
    <xf numFmtId="164" fontId="0" fillId="0" borderId="43" xfId="0" applyNumberFormat="1" applyFill="1" applyBorder="1">
      <alignment horizontal="center" vertical="center"/>
    </xf>
    <xf numFmtId="1" fontId="0" fillId="0" borderId="43" xfId="0" applyNumberFormat="1" applyFont="1" applyFill="1" applyBorder="1">
      <alignment horizontal="center" vertical="center"/>
    </xf>
    <xf numFmtId="165" fontId="0" fillId="0" borderId="43" xfId="0" applyNumberFormat="1" applyFont="1" applyFill="1" applyBorder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39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right" vertical="center"/>
    </xf>
    <xf numFmtId="165" fontId="0" fillId="0" borderId="12" xfId="0" applyNumberFormat="1" applyFont="1" applyFill="1" applyBorder="1" applyAlignment="1">
      <alignment horizontal="right" vertical="center"/>
    </xf>
    <xf numFmtId="49" fontId="19" fillId="0" borderId="39" xfId="0" applyNumberFormat="1" applyFont="1" applyFill="1" applyBorder="1" applyAlignment="1">
      <alignment horizontal="center" vertical="center"/>
    </xf>
    <xf numFmtId="1" fontId="0" fillId="0" borderId="27" xfId="0" applyNumberFormat="1" applyFont="1" applyFill="1" applyBorder="1" applyAlignment="1">
      <alignment horizontal="right" vertical="center"/>
    </xf>
    <xf numFmtId="49" fontId="19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>
      <alignment horizontal="center" vertical="center"/>
    </xf>
    <xf numFmtId="0" fontId="0" fillId="0" borderId="0" xfId="0" applyFill="1" applyBorder="1">
      <alignment horizontal="center" vertic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49" fontId="0" fillId="0" borderId="58" xfId="0" applyNumberFormat="1" applyFill="1" applyBorder="1">
      <alignment horizontal="center" vertical="center"/>
    </xf>
    <xf numFmtId="49" fontId="0" fillId="0" borderId="39" xfId="0" applyNumberFormat="1" applyFill="1" applyBorder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39" xfId="0" applyFill="1" applyBorder="1">
      <alignment horizontal="center" vertical="center"/>
    </xf>
    <xf numFmtId="165" fontId="0" fillId="0" borderId="39" xfId="0" applyNumberFormat="1" applyFont="1" applyFill="1" applyBorder="1">
      <alignment horizontal="center" vertical="center"/>
    </xf>
    <xf numFmtId="0" fontId="19" fillId="0" borderId="39" xfId="0" applyFont="1" applyFill="1" applyBorder="1" applyAlignment="1">
      <alignment horizontal="left" vertical="center" wrapText="1"/>
    </xf>
    <xf numFmtId="0" fontId="0" fillId="0" borderId="37" xfId="0" applyFont="1" applyFill="1" applyBorder="1" applyAlignment="1">
      <alignment horizontal="center" vertical="center"/>
    </xf>
    <xf numFmtId="2" fontId="0" fillId="0" borderId="37" xfId="0" applyNumberForma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43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left" vertical="center" wrapText="1"/>
    </xf>
    <xf numFmtId="0" fontId="0" fillId="0" borderId="43" xfId="0" applyFill="1" applyBorder="1" applyAlignment="1">
      <alignment horizontal="center" vertical="center"/>
    </xf>
    <xf numFmtId="165" fontId="0" fillId="0" borderId="12" xfId="0" applyNumberFormat="1" applyFont="1" applyFill="1" applyBorder="1" applyAlignment="1">
      <alignment horizontal="right" vertical="center"/>
    </xf>
    <xf numFmtId="1" fontId="0" fillId="0" borderId="0" xfId="0" applyNumberFormat="1" applyFont="1" applyFill="1" applyBorder="1" applyAlignment="1">
      <alignment horizontal="right" vertical="center"/>
    </xf>
    <xf numFmtId="0" fontId="19" fillId="0" borderId="10" xfId="0" applyFont="1" applyFill="1" applyBorder="1" applyAlignment="1">
      <alignment horizontal="left" vertical="center" wrapText="1"/>
    </xf>
    <xf numFmtId="165" fontId="0" fillId="0" borderId="12" xfId="0" applyNumberFormat="1" applyFont="1" applyFill="1" applyBorder="1" applyAlignment="1">
      <alignment horizontal="right" vertical="center"/>
    </xf>
    <xf numFmtId="164" fontId="0" fillId="0" borderId="59" xfId="0" applyNumberFormat="1" applyFont="1" applyFill="1" applyBorder="1" applyAlignment="1">
      <alignment horizontal="left" vertical="center"/>
    </xf>
    <xf numFmtId="165" fontId="0" fillId="0" borderId="12" xfId="0" applyNumberFormat="1" applyFont="1" applyFill="1" applyBorder="1" applyAlignment="1">
      <alignment horizontal="right" vertical="center"/>
    </xf>
    <xf numFmtId="49" fontId="0" fillId="0" borderId="25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center"/>
    </xf>
    <xf numFmtId="1" fontId="0" fillId="0" borderId="52" xfId="0" applyNumberFormat="1" applyFill="1" applyBorder="1">
      <alignment horizontal="center" vertical="center"/>
    </xf>
    <xf numFmtId="164" fontId="0" fillId="0" borderId="10" xfId="0" applyNumberFormat="1" applyFont="1" applyFill="1" applyBorder="1" applyAlignment="1">
      <alignment horizontal="center" vertical="center"/>
    </xf>
    <xf numFmtId="0" fontId="0" fillId="24" borderId="0" xfId="0" applyFont="1" applyFill="1" applyBorder="1">
      <alignment horizontal="center" vertical="center"/>
    </xf>
    <xf numFmtId="49" fontId="0" fillId="0" borderId="15" xfId="0" applyNumberFormat="1" applyFont="1" applyFill="1" applyBorder="1">
      <alignment horizontal="center" vertical="center"/>
    </xf>
    <xf numFmtId="0" fontId="0" fillId="0" borderId="12" xfId="0" applyFont="1" applyFill="1" applyBorder="1">
      <alignment horizontal="center" vertical="center"/>
    </xf>
    <xf numFmtId="0" fontId="0" fillId="0" borderId="10" xfId="0" applyFont="1" applyFill="1" applyBorder="1">
      <alignment horizontal="center" vertical="center"/>
    </xf>
    <xf numFmtId="49" fontId="19" fillId="0" borderId="43" xfId="0" applyNumberFormat="1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left" vertical="center" wrapText="1"/>
    </xf>
    <xf numFmtId="49" fontId="19" fillId="0" borderId="37" xfId="0" applyNumberFormat="1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left" vertical="center" wrapText="1"/>
    </xf>
    <xf numFmtId="2" fontId="0" fillId="0" borderId="12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 vertical="center"/>
    </xf>
    <xf numFmtId="1" fontId="0" fillId="0" borderId="12" xfId="0" applyNumberFormat="1" applyFont="1" applyFill="1" applyBorder="1" applyAlignment="1">
      <alignment horizontal="right" vertical="center"/>
    </xf>
    <xf numFmtId="1" fontId="0" fillId="0" borderId="0" xfId="0" applyNumberFormat="1" applyFont="1" applyFill="1" applyBorder="1" applyAlignment="1">
      <alignment horizontal="right" vertical="center"/>
    </xf>
    <xf numFmtId="165" fontId="0" fillId="0" borderId="12" xfId="0" applyNumberFormat="1" applyFont="1" applyFill="1" applyBorder="1" applyAlignment="1">
      <alignment horizontal="right" vertical="center"/>
    </xf>
    <xf numFmtId="2" fontId="0" fillId="0" borderId="27" xfId="0" applyNumberFormat="1" applyFont="1" applyFill="1" applyBorder="1" applyAlignment="1">
      <alignment horizontal="right" vertical="center"/>
    </xf>
    <xf numFmtId="0" fontId="0" fillId="0" borderId="43" xfId="0" applyFont="1" applyFill="1" applyBorder="1" applyAlignment="1">
      <alignment horizontal="center" vertical="center"/>
    </xf>
    <xf numFmtId="2" fontId="0" fillId="0" borderId="43" xfId="0" applyNumberFormat="1" applyFill="1" applyBorder="1" applyAlignment="1">
      <alignment horizontal="center" vertical="center"/>
    </xf>
    <xf numFmtId="0" fontId="0" fillId="0" borderId="45" xfId="0" applyNumberFormat="1" applyFont="1" applyFill="1" applyBorder="1" applyAlignment="1">
      <alignment horizontal="center" vertical="center"/>
    </xf>
    <xf numFmtId="0" fontId="0" fillId="0" borderId="46" xfId="0" applyNumberFormat="1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0" fontId="0" fillId="0" borderId="46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 wrapText="1"/>
    </xf>
    <xf numFmtId="0" fontId="19" fillId="0" borderId="30" xfId="0" applyFont="1" applyFill="1" applyBorder="1" applyAlignment="1">
      <alignment horizontal="center" vertical="center" wrapText="1"/>
    </xf>
    <xf numFmtId="0" fontId="0" fillId="0" borderId="24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0" fillId="0" borderId="33" xfId="0" applyNumberFormat="1" applyFont="1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 wrapText="1"/>
    </xf>
    <xf numFmtId="49" fontId="19" fillId="0" borderId="43" xfId="0" applyNumberFormat="1" applyFont="1" applyFill="1" applyBorder="1" applyAlignment="1">
      <alignment horizontal="center" vertical="center"/>
    </xf>
    <xf numFmtId="0" fontId="0" fillId="0" borderId="39" xfId="0" applyNumberFormat="1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19" fillId="0" borderId="30" xfId="0" applyFont="1" applyFill="1" applyBorder="1" applyAlignment="1">
      <alignment horizontal="left" vertical="center" wrapText="1"/>
    </xf>
    <xf numFmtId="0" fontId="0" fillId="0" borderId="24" xfId="0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  <xf numFmtId="49" fontId="19" fillId="0" borderId="37" xfId="0" applyNumberFormat="1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0" fillId="0" borderId="25" xfId="0" applyNumberFormat="1" applyFont="1" applyFill="1" applyBorder="1" applyAlignment="1">
      <alignment horizontal="center" vertical="center"/>
    </xf>
    <xf numFmtId="0" fontId="0" fillId="0" borderId="48" xfId="0" applyNumberFormat="1" applyFont="1" applyFill="1" applyBorder="1" applyAlignment="1">
      <alignment horizontal="center" vertical="center"/>
    </xf>
    <xf numFmtId="0" fontId="0" fillId="0" borderId="49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164" fontId="0" fillId="0" borderId="41" xfId="0" applyNumberFormat="1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0" fontId="0" fillId="0" borderId="49" xfId="0" applyFont="1" applyFill="1" applyBorder="1" applyAlignment="1">
      <alignment horizontal="center" vertical="center"/>
    </xf>
    <xf numFmtId="0" fontId="0" fillId="0" borderId="31" xfId="0" applyNumberFormat="1" applyFont="1" applyFill="1" applyBorder="1" applyAlignment="1">
      <alignment horizontal="center" vertical="center"/>
    </xf>
    <xf numFmtId="0" fontId="0" fillId="0" borderId="32" xfId="0" applyNumberFormat="1" applyFont="1" applyFill="1" applyBorder="1" applyAlignment="1">
      <alignment horizontal="center" vertical="center"/>
    </xf>
    <xf numFmtId="49" fontId="19" fillId="0" borderId="16" xfId="0" applyNumberFormat="1" applyFont="1" applyFill="1" applyBorder="1" applyAlignment="1">
      <alignment horizontal="center" vertical="center" wrapText="1"/>
    </xf>
    <xf numFmtId="49" fontId="19" fillId="0" borderId="20" xfId="0" applyNumberFormat="1" applyFont="1" applyFill="1" applyBorder="1" applyAlignment="1">
      <alignment horizontal="center" vertical="center" wrapText="1"/>
    </xf>
    <xf numFmtId="49" fontId="19" fillId="0" borderId="20" xfId="0" applyNumberFormat="1" applyFont="1" applyFill="1" applyBorder="1" applyAlignment="1">
      <alignment horizontal="center" vertical="center"/>
    </xf>
    <xf numFmtId="164" fontId="19" fillId="0" borderId="26" xfId="0" applyNumberFormat="1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/>
    </xf>
    <xf numFmtId="0" fontId="19" fillId="0" borderId="38" xfId="0" applyFont="1" applyFill="1" applyBorder="1" applyAlignment="1">
      <alignment horizontal="center" vertical="center"/>
    </xf>
    <xf numFmtId="2" fontId="19" fillId="0" borderId="27" xfId="0" applyNumberFormat="1" applyFont="1" applyFill="1" applyBorder="1" applyAlignment="1" applyProtection="1">
      <alignment horizontal="center" vertical="center"/>
      <protection locked="0"/>
    </xf>
    <xf numFmtId="0" fontId="19" fillId="0" borderId="28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left" vertical="center" wrapText="1"/>
    </xf>
    <xf numFmtId="2" fontId="0" fillId="0" borderId="37" xfId="0" applyNumberFormat="1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2" fontId="0" fillId="0" borderId="30" xfId="0" applyNumberFormat="1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center" vertical="center"/>
    </xf>
    <xf numFmtId="0" fontId="0" fillId="0" borderId="27" xfId="0" applyNumberFormat="1" applyFill="1" applyBorder="1" applyAlignment="1">
      <alignment horizontal="right" vertical="center"/>
    </xf>
    <xf numFmtId="0" fontId="0" fillId="0" borderId="52" xfId="0" applyNumberFormat="1" applyFont="1" applyFill="1" applyBorder="1" applyAlignment="1">
      <alignment horizontal="center" vertical="center"/>
    </xf>
    <xf numFmtId="0" fontId="0" fillId="0" borderId="53" xfId="0" applyFont="1" applyFill="1" applyBorder="1" applyAlignment="1">
      <alignment horizontal="center" vertical="center"/>
    </xf>
    <xf numFmtId="0" fontId="0" fillId="0" borderId="54" xfId="0" applyFont="1" applyFill="1" applyBorder="1" applyAlignment="1">
      <alignment horizontal="center" vertical="center"/>
    </xf>
    <xf numFmtId="49" fontId="19" fillId="0" borderId="37" xfId="0" applyNumberFormat="1" applyFont="1" applyFill="1" applyBorder="1" applyAlignment="1">
      <alignment horizontal="center" vertical="center" textRotation="90" wrapText="1"/>
    </xf>
    <xf numFmtId="49" fontId="19" fillId="0" borderId="10" xfId="0" applyNumberFormat="1" applyFont="1" applyFill="1" applyBorder="1" applyAlignment="1">
      <alignment horizontal="center" vertical="center" textRotation="90" wrapText="1"/>
    </xf>
    <xf numFmtId="1" fontId="0" fillId="0" borderId="53" xfId="0" applyNumberFormat="1" applyFont="1" applyFill="1" applyBorder="1" applyAlignment="1">
      <alignment horizontal="center" vertical="center"/>
    </xf>
    <xf numFmtId="1" fontId="0" fillId="0" borderId="54" xfId="0" applyNumberFormat="1" applyFont="1" applyFill="1" applyBorder="1" applyAlignment="1">
      <alignment horizontal="center" vertical="center"/>
    </xf>
    <xf numFmtId="49" fontId="0" fillId="0" borderId="45" xfId="0" applyNumberFormat="1" applyFill="1" applyBorder="1" applyAlignment="1">
      <alignment horizontal="center" vertical="center"/>
    </xf>
    <xf numFmtId="49" fontId="0" fillId="0" borderId="39" xfId="0" applyNumberFormat="1" applyFill="1" applyBorder="1" applyAlignment="1">
      <alignment horizontal="center" vertical="center"/>
    </xf>
    <xf numFmtId="49" fontId="0" fillId="0" borderId="46" xfId="0" applyNumberFormat="1" applyFill="1" applyBorder="1" applyAlignment="1">
      <alignment horizontal="center" vertical="center"/>
    </xf>
    <xf numFmtId="49" fontId="0" fillId="0" borderId="48" xfId="0" applyNumberFormat="1" applyFill="1" applyBorder="1" applyAlignment="1">
      <alignment horizontal="center" vertical="center"/>
    </xf>
    <xf numFmtId="49" fontId="0" fillId="0" borderId="33" xfId="0" applyNumberFormat="1" applyFill="1" applyBorder="1" applyAlignment="1">
      <alignment horizontal="center" vertical="center"/>
    </xf>
    <xf numFmtId="49" fontId="0" fillId="0" borderId="49" xfId="0" applyNumberFormat="1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1" fontId="0" fillId="0" borderId="43" xfId="0" applyNumberFormat="1" applyFont="1" applyFill="1" applyBorder="1" applyAlignment="1">
      <alignment horizontal="center" vertical="center"/>
    </xf>
    <xf numFmtId="164" fontId="0" fillId="0" borderId="43" xfId="0" applyNumberFormat="1" applyFill="1" applyBorder="1" applyAlignment="1">
      <alignment horizontal="center" vertical="center"/>
    </xf>
    <xf numFmtId="2" fontId="0" fillId="0" borderId="12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 vertical="center"/>
    </xf>
    <xf numFmtId="2" fontId="0" fillId="0" borderId="18" xfId="0" applyNumberFormat="1" applyFont="1" applyFill="1" applyBorder="1" applyAlignment="1" applyProtection="1">
      <alignment horizontal="right" vertical="center"/>
    </xf>
    <xf numFmtId="1" fontId="0" fillId="0" borderId="12" xfId="0" applyNumberFormat="1" applyFont="1" applyFill="1" applyBorder="1" applyAlignment="1">
      <alignment horizontal="right" vertical="center"/>
    </xf>
    <xf numFmtId="1" fontId="0" fillId="0" borderId="0" xfId="0" applyNumberFormat="1" applyFont="1" applyFill="1" applyBorder="1" applyAlignment="1">
      <alignment horizontal="right" vertical="center"/>
    </xf>
    <xf numFmtId="165" fontId="0" fillId="0" borderId="12" xfId="0" applyNumberFormat="1" applyFont="1" applyFill="1" applyBorder="1" applyAlignment="1">
      <alignment horizontal="right" vertical="center"/>
    </xf>
    <xf numFmtId="165" fontId="0" fillId="0" borderId="0" xfId="0" applyNumberFormat="1" applyFont="1" applyFill="1" applyBorder="1" applyAlignment="1">
      <alignment horizontal="right" vertical="center"/>
    </xf>
    <xf numFmtId="1" fontId="0" fillId="0" borderId="18" xfId="0" applyNumberFormat="1" applyFont="1" applyFill="1" applyBorder="1" applyAlignment="1" applyProtection="1">
      <alignment horizontal="right" vertical="center"/>
    </xf>
    <xf numFmtId="2" fontId="0" fillId="0" borderId="34" xfId="0" applyNumberFormat="1" applyFont="1" applyFill="1" applyBorder="1" applyAlignment="1">
      <alignment horizontal="right" vertical="center"/>
    </xf>
    <xf numFmtId="2" fontId="0" fillId="0" borderId="27" xfId="0" applyNumberFormat="1" applyFont="1" applyFill="1" applyBorder="1" applyAlignment="1">
      <alignment horizontal="right" vertical="center"/>
    </xf>
    <xf numFmtId="49" fontId="19" fillId="0" borderId="45" xfId="0" applyNumberFormat="1" applyFont="1" applyFill="1" applyBorder="1" applyAlignment="1">
      <alignment horizontal="center" vertical="center"/>
    </xf>
    <xf numFmtId="49" fontId="19" fillId="0" borderId="39" xfId="0" applyNumberFormat="1" applyFont="1" applyFill="1" applyBorder="1" applyAlignment="1">
      <alignment horizontal="center" vertical="center"/>
    </xf>
    <xf numFmtId="49" fontId="19" fillId="0" borderId="46" xfId="0" applyNumberFormat="1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vertical="center" wrapText="1"/>
    </xf>
    <xf numFmtId="0" fontId="19" fillId="0" borderId="64" xfId="0" applyFont="1" applyFill="1" applyBorder="1" applyAlignment="1">
      <alignment vertical="center" wrapText="1"/>
    </xf>
    <xf numFmtId="0" fontId="0" fillId="25" borderId="0" xfId="0" applyFont="1" applyFill="1" applyBorder="1">
      <alignment horizontal="center" vertical="center"/>
    </xf>
    <xf numFmtId="0" fontId="0" fillId="0" borderId="49" xfId="0" applyNumberFormat="1" applyFill="1" applyBorder="1" applyAlignment="1">
      <alignment horizontal="left" vertical="center"/>
    </xf>
    <xf numFmtId="49" fontId="19" fillId="0" borderId="30" xfId="0" applyNumberFormat="1" applyFont="1" applyFill="1" applyBorder="1" applyAlignment="1">
      <alignment horizontal="center" vertical="center"/>
    </xf>
    <xf numFmtId="2" fontId="0" fillId="0" borderId="57" xfId="0" applyNumberFormat="1" applyFont="1" applyFill="1" applyBorder="1">
      <alignment horizontal="center" vertical="center"/>
    </xf>
    <xf numFmtId="2" fontId="0" fillId="0" borderId="23" xfId="0" applyNumberFormat="1" applyFont="1" applyFill="1" applyBorder="1" applyAlignment="1">
      <alignment horizontal="center"/>
    </xf>
    <xf numFmtId="2" fontId="0" fillId="0" borderId="58" xfId="0" applyNumberFormat="1" applyFont="1" applyFill="1" applyBorder="1">
      <alignment horizontal="center" vertical="center"/>
    </xf>
    <xf numFmtId="2" fontId="0" fillId="0" borderId="13" xfId="0" applyNumberFormat="1" applyFont="1" applyFill="1" applyBorder="1" applyAlignment="1">
      <alignment horizontal="center"/>
    </xf>
    <xf numFmtId="0" fontId="0" fillId="0" borderId="50" xfId="0" applyNumberFormat="1" applyFont="1" applyFill="1" applyBorder="1" applyAlignment="1">
      <alignment horizontal="left" vertical="center"/>
    </xf>
    <xf numFmtId="0" fontId="0" fillId="0" borderId="53" xfId="0" applyNumberFormat="1" applyFont="1" applyFill="1" applyBorder="1" applyAlignment="1">
      <alignment horizontal="center" vertical="center"/>
    </xf>
    <xf numFmtId="0" fontId="0" fillId="0" borderId="54" xfId="0" applyNumberFormat="1" applyFont="1" applyFill="1" applyBorder="1" applyAlignment="1">
      <alignment horizontal="center" vertical="center"/>
    </xf>
    <xf numFmtId="0" fontId="19" fillId="0" borderId="43" xfId="0" applyFont="1" applyFill="1" applyBorder="1" applyAlignment="1">
      <alignment horizontal="left" vertical="center" wrapText="1"/>
    </xf>
    <xf numFmtId="0" fontId="0" fillId="0" borderId="37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49" fontId="0" fillId="0" borderId="44" xfId="0" applyNumberFormat="1" applyFont="1" applyFill="1" applyBorder="1">
      <alignment horizontal="center" vertical="center"/>
    </xf>
    <xf numFmtId="0" fontId="0" fillId="0" borderId="39" xfId="0" applyNumberFormat="1" applyFont="1" applyFill="1" applyBorder="1" applyAlignment="1">
      <alignment horizontal="right" vertical="center"/>
    </xf>
    <xf numFmtId="1" fontId="0" fillId="0" borderId="39" xfId="0" applyNumberFormat="1" applyFont="1" applyFill="1" applyBorder="1" applyAlignment="1">
      <alignment horizontal="right" vertical="center"/>
    </xf>
    <xf numFmtId="164" fontId="0" fillId="0" borderId="40" xfId="0" applyNumberFormat="1" applyFont="1" applyFill="1" applyBorder="1" applyAlignment="1">
      <alignment horizontal="left" vertical="center"/>
    </xf>
    <xf numFmtId="0" fontId="0" fillId="0" borderId="53" xfId="0" applyNumberFormat="1" applyFill="1" applyBorder="1" applyAlignment="1">
      <alignment horizontal="right" vertical="center"/>
    </xf>
    <xf numFmtId="0" fontId="0" fillId="0" borderId="52" xfId="0" applyNumberFormat="1" applyFill="1" applyBorder="1" applyAlignment="1">
      <alignment horizontal="right" vertical="center"/>
    </xf>
    <xf numFmtId="1" fontId="0" fillId="0" borderId="52" xfId="0" applyNumberFormat="1" applyFont="1" applyFill="1" applyBorder="1" applyAlignment="1">
      <alignment horizontal="right" vertical="center"/>
    </xf>
    <xf numFmtId="164" fontId="0" fillId="0" borderId="54" xfId="0" applyNumberFormat="1" applyFill="1" applyBorder="1" applyAlignment="1">
      <alignment horizontal="left" vertical="center"/>
    </xf>
    <xf numFmtId="49" fontId="19" fillId="0" borderId="65" xfId="0" applyNumberFormat="1" applyFont="1" applyFill="1" applyBorder="1" applyAlignment="1">
      <alignment horizontal="center" vertical="center" wrapText="1"/>
    </xf>
    <xf numFmtId="0" fontId="19" fillId="0" borderId="65" xfId="0" applyFont="1" applyFill="1" applyBorder="1" applyAlignment="1">
      <alignment horizontal="center" vertical="center"/>
    </xf>
    <xf numFmtId="2" fontId="19" fillId="0" borderId="65" xfId="0" applyNumberFormat="1" applyFont="1" applyFill="1" applyBorder="1" applyAlignment="1">
      <alignment horizontal="center" vertical="center"/>
    </xf>
    <xf numFmtId="49" fontId="0" fillId="0" borderId="37" xfId="0" applyNumberFormat="1" applyFill="1" applyBorder="1">
      <alignment horizontal="center" vertical="center"/>
    </xf>
    <xf numFmtId="2" fontId="0" fillId="0" borderId="54" xfId="0" applyNumberFormat="1" applyFont="1" applyFill="1" applyBorder="1">
      <alignment horizontal="center" vertical="center"/>
    </xf>
    <xf numFmtId="165" fontId="0" fillId="0" borderId="32" xfId="0" applyNumberFormat="1" applyFont="1" applyFill="1" applyBorder="1">
      <alignment horizontal="center" vertical="center"/>
    </xf>
    <xf numFmtId="49" fontId="0" fillId="0" borderId="43" xfId="0" applyNumberFormat="1" applyFill="1" applyBorder="1">
      <alignment horizontal="center" vertical="center"/>
    </xf>
    <xf numFmtId="0" fontId="0" fillId="0" borderId="52" xfId="0" applyFill="1" applyBorder="1">
      <alignment horizontal="center" vertical="center"/>
    </xf>
    <xf numFmtId="0" fontId="0" fillId="0" borderId="54" xfId="0" applyNumberFormat="1" applyFont="1" applyFill="1" applyBorder="1" applyAlignment="1">
      <alignment horizontal="left" vertical="center"/>
    </xf>
    <xf numFmtId="49" fontId="0" fillId="0" borderId="30" xfId="0" applyNumberFormat="1" applyFill="1" applyBorder="1">
      <alignment horizontal="center" vertical="center"/>
    </xf>
    <xf numFmtId="49" fontId="0" fillId="0" borderId="52" xfId="0" applyNumberFormat="1" applyFill="1" applyBorder="1">
      <alignment horizontal="center" vertical="center"/>
    </xf>
    <xf numFmtId="0" fontId="0" fillId="0" borderId="53" xfId="0" applyFill="1" applyBorder="1">
      <alignment horizontal="center" vertical="center"/>
    </xf>
    <xf numFmtId="0" fontId="0" fillId="0" borderId="54" xfId="0" applyNumberFormat="1" applyFill="1" applyBorder="1" applyAlignment="1">
      <alignment horizontal="left" vertical="center"/>
    </xf>
    <xf numFmtId="0" fontId="0" fillId="0" borderId="61" xfId="0" applyNumberFormat="1" applyFont="1" applyFill="1" applyBorder="1" applyAlignment="1">
      <alignment horizontal="center" vertical="center"/>
    </xf>
    <xf numFmtId="0" fontId="0" fillId="0" borderId="62" xfId="0" applyNumberFormat="1" applyFont="1" applyFill="1" applyBorder="1" applyAlignment="1">
      <alignment horizontal="center" vertical="center"/>
    </xf>
    <xf numFmtId="0" fontId="0" fillId="0" borderId="61" xfId="0" applyFont="1" applyFill="1" applyBorder="1" applyAlignment="1">
      <alignment horizontal="center" vertical="center"/>
    </xf>
    <xf numFmtId="0" fontId="0" fillId="0" borderId="62" xfId="0" applyFont="1" applyFill="1" applyBorder="1" applyAlignment="1">
      <alignment horizontal="center" vertical="center"/>
    </xf>
    <xf numFmtId="165" fontId="0" fillId="0" borderId="63" xfId="0" applyNumberFormat="1" applyFont="1" applyFill="1" applyBorder="1">
      <alignment horizontal="center" vertical="center"/>
    </xf>
    <xf numFmtId="0" fontId="19" fillId="0" borderId="64" xfId="0" applyFont="1" applyFill="1" applyBorder="1" applyAlignment="1">
      <alignment horizontal="left" vertical="center" wrapText="1"/>
    </xf>
    <xf numFmtId="49" fontId="0" fillId="0" borderId="60" xfId="0" applyNumberFormat="1" applyFont="1" applyFill="1" applyBorder="1" applyAlignment="1">
      <alignment horizontal="center" vertical="center"/>
    </xf>
    <xf numFmtId="164" fontId="0" fillId="0" borderId="60" xfId="0" applyNumberFormat="1" applyFont="1" applyFill="1" applyBorder="1" applyAlignment="1">
      <alignment horizontal="center" vertical="center"/>
    </xf>
    <xf numFmtId="49" fontId="0" fillId="0" borderId="51" xfId="0" applyNumberFormat="1" applyFont="1" applyFill="1" applyBorder="1">
      <alignment horizontal="center" vertical="center"/>
    </xf>
    <xf numFmtId="0" fontId="0" fillId="0" borderId="52" xfId="0" applyNumberFormat="1" applyFont="1" applyFill="1" applyBorder="1" applyAlignment="1">
      <alignment horizontal="right" vertical="center"/>
    </xf>
    <xf numFmtId="164" fontId="0" fillId="0" borderId="50" xfId="0" applyNumberFormat="1" applyFont="1" applyFill="1" applyBorder="1" applyAlignment="1">
      <alignment horizontal="left" vertical="center"/>
    </xf>
  </cellXfs>
  <cellStyles count="4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y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200"/>
  <sheetViews>
    <sheetView tabSelected="1" view="pageBreakPreview" topLeftCell="A46" zoomScale="145" zoomScaleSheetLayoutView="145" workbookViewId="0">
      <selection activeCell="R75" sqref="R75"/>
    </sheetView>
  </sheetViews>
  <sheetFormatPr defaultColWidth="14.5" defaultRowHeight="11.25"/>
  <cols>
    <col min="1" max="1" width="1" style="5" customWidth="1"/>
    <col min="2" max="2" width="4.1640625" style="5" customWidth="1"/>
    <col min="3" max="3" width="4.5" style="8" bestFit="1" customWidth="1"/>
    <col min="4" max="4" width="3.6640625" style="8" bestFit="1" customWidth="1"/>
    <col min="5" max="5" width="10" style="9" customWidth="1"/>
    <col min="6" max="6" width="9.6640625" style="10" bestFit="1" customWidth="1"/>
    <col min="7" max="7" width="4.1640625" style="10" bestFit="1" customWidth="1"/>
    <col min="8" max="8" width="6.5" style="4" bestFit="1" customWidth="1"/>
    <col min="9" max="9" width="2.1640625" style="4" bestFit="1" customWidth="1"/>
    <col min="10" max="10" width="4.6640625" style="4" bestFit="1" customWidth="1"/>
    <col min="11" max="11" width="8.5" style="4" bestFit="1" customWidth="1"/>
    <col min="12" max="12" width="6.6640625" style="11" bestFit="1" customWidth="1"/>
    <col min="13" max="13" width="7" style="11" bestFit="1" customWidth="1"/>
    <col min="14" max="14" width="9.5" style="4" customWidth="1"/>
    <col min="15" max="15" width="5.6640625" style="4" customWidth="1"/>
    <col min="16" max="16" width="13.83203125" style="4" customWidth="1"/>
    <col min="17" max="17" width="5.83203125" style="4" bestFit="1" customWidth="1"/>
    <col min="18" max="18" width="5.1640625" style="4" bestFit="1" customWidth="1"/>
    <col min="19" max="19" width="4.1640625" style="4" bestFit="1" customWidth="1"/>
    <col min="20" max="243" width="13.83203125" style="4" customWidth="1"/>
    <col min="244" max="244" width="14.5" style="4"/>
    <col min="245" max="16384" width="14.5" style="5"/>
  </cols>
  <sheetData>
    <row r="1" spans="2:14" s="4" customFormat="1">
      <c r="B1" s="5"/>
      <c r="C1" s="184" t="s">
        <v>153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</row>
    <row r="2" spans="2:14" s="4" customFormat="1">
      <c r="B2" s="5"/>
      <c r="C2" s="185" t="s">
        <v>0</v>
      </c>
      <c r="D2" s="186" t="s">
        <v>1</v>
      </c>
      <c r="E2" s="186"/>
      <c r="F2" s="187" t="s">
        <v>2</v>
      </c>
      <c r="G2" s="187" t="s">
        <v>3</v>
      </c>
      <c r="H2" s="187"/>
      <c r="I2" s="188" t="s">
        <v>4</v>
      </c>
      <c r="J2" s="188"/>
      <c r="K2" s="189" t="s">
        <v>5</v>
      </c>
      <c r="L2" s="191" t="s">
        <v>123</v>
      </c>
      <c r="M2" s="191"/>
      <c r="N2" s="192" t="s">
        <v>14</v>
      </c>
    </row>
    <row r="3" spans="2:14" s="4" customFormat="1">
      <c r="B3" s="5"/>
      <c r="C3" s="185"/>
      <c r="D3" s="186"/>
      <c r="E3" s="186"/>
      <c r="F3" s="187"/>
      <c r="G3" s="187"/>
      <c r="H3" s="187"/>
      <c r="I3" s="188"/>
      <c r="J3" s="188"/>
      <c r="K3" s="190"/>
      <c r="L3" s="21" t="s">
        <v>6</v>
      </c>
      <c r="M3" s="22" t="s">
        <v>7</v>
      </c>
      <c r="N3" s="192"/>
    </row>
    <row r="4" spans="2:14" s="4" customFormat="1">
      <c r="B4" s="164" t="s">
        <v>31</v>
      </c>
      <c r="C4" s="51" t="s">
        <v>10</v>
      </c>
      <c r="D4" s="25" t="s">
        <v>17</v>
      </c>
      <c r="E4" s="12">
        <v>220</v>
      </c>
      <c r="F4" s="52">
        <v>26.2</v>
      </c>
      <c r="G4" s="158">
        <v>6840</v>
      </c>
      <c r="H4" s="158"/>
      <c r="I4" s="173">
        <v>17</v>
      </c>
      <c r="J4" s="174"/>
      <c r="K4" s="29" t="s">
        <v>84</v>
      </c>
      <c r="L4" s="14">
        <f t="shared" ref="L4:L75" si="0">IF(I4&lt;&gt;"",(F4*G4*0.001),"")</f>
        <v>179.208</v>
      </c>
      <c r="M4" s="80">
        <f t="shared" ref="M4:M60" si="1">IF(I4&lt;&gt;"",I4*L4,"")</f>
        <v>3046.5360000000001</v>
      </c>
      <c r="N4" s="193" t="s">
        <v>35</v>
      </c>
    </row>
    <row r="5" spans="2:14" s="4" customFormat="1">
      <c r="B5" s="164"/>
      <c r="C5" s="51" t="s">
        <v>60</v>
      </c>
      <c r="D5" s="25" t="s">
        <v>63</v>
      </c>
      <c r="E5" s="42" t="s">
        <v>64</v>
      </c>
      <c r="F5" s="52">
        <f>7850*0.01*0.235</f>
        <v>18.447499999999998</v>
      </c>
      <c r="G5" s="158">
        <v>213</v>
      </c>
      <c r="H5" s="158"/>
      <c r="I5" s="159">
        <f>2*I4</f>
        <v>34</v>
      </c>
      <c r="J5" s="160"/>
      <c r="K5" s="29" t="s">
        <v>84</v>
      </c>
      <c r="L5" s="14">
        <f t="shared" si="0"/>
        <v>3.9293174999999998</v>
      </c>
      <c r="M5" s="81">
        <f t="shared" ref="M5:M7" si="2">IF(I5&lt;&gt;"",I5*L5,"")</f>
        <v>133.59679499999999</v>
      </c>
      <c r="N5" s="167"/>
    </row>
    <row r="6" spans="2:14" s="4" customFormat="1">
      <c r="B6" s="164"/>
      <c r="C6" s="51" t="s">
        <v>61</v>
      </c>
      <c r="D6" s="25" t="s">
        <v>63</v>
      </c>
      <c r="E6" s="42" t="s">
        <v>65</v>
      </c>
      <c r="F6" s="52">
        <f>7850*0.01*0.135</f>
        <v>10.5975</v>
      </c>
      <c r="G6" s="158">
        <v>57</v>
      </c>
      <c r="H6" s="158"/>
      <c r="I6" s="159">
        <f>I5</f>
        <v>34</v>
      </c>
      <c r="J6" s="160"/>
      <c r="K6" s="29" t="s">
        <v>84</v>
      </c>
      <c r="L6" s="14">
        <f t="shared" si="0"/>
        <v>0.60405750000000002</v>
      </c>
      <c r="M6" s="81">
        <f t="shared" si="2"/>
        <v>20.537955</v>
      </c>
      <c r="N6" s="167"/>
    </row>
    <row r="7" spans="2:14" s="4" customFormat="1">
      <c r="B7" s="172"/>
      <c r="C7" s="51" t="s">
        <v>62</v>
      </c>
      <c r="D7" s="25" t="s">
        <v>63</v>
      </c>
      <c r="E7" s="42" t="s">
        <v>66</v>
      </c>
      <c r="F7" s="52">
        <f>7850*0.01*0.054</f>
        <v>4.2389999999999999</v>
      </c>
      <c r="G7" s="158">
        <v>203</v>
      </c>
      <c r="H7" s="158"/>
      <c r="I7" s="159">
        <f>I5</f>
        <v>34</v>
      </c>
      <c r="J7" s="160"/>
      <c r="K7" s="29" t="s">
        <v>84</v>
      </c>
      <c r="L7" s="14">
        <f t="shared" si="0"/>
        <v>0.86051699999999998</v>
      </c>
      <c r="M7" s="81">
        <f t="shared" si="2"/>
        <v>29.257577999999999</v>
      </c>
      <c r="N7" s="167"/>
    </row>
    <row r="8" spans="2:14" s="4" customFormat="1">
      <c r="B8" s="164" t="s">
        <v>32</v>
      </c>
      <c r="C8" s="53" t="s">
        <v>11</v>
      </c>
      <c r="D8" s="54" t="s">
        <v>17</v>
      </c>
      <c r="E8" s="55">
        <v>220</v>
      </c>
      <c r="F8" s="56">
        <v>26.2</v>
      </c>
      <c r="G8" s="165">
        <v>6529.5</v>
      </c>
      <c r="H8" s="165"/>
      <c r="I8" s="153">
        <v>5</v>
      </c>
      <c r="J8" s="154"/>
      <c r="K8" s="28" t="s">
        <v>84</v>
      </c>
      <c r="L8" s="57">
        <f t="shared" si="0"/>
        <v>171.0729</v>
      </c>
      <c r="M8" s="82">
        <f t="shared" si="1"/>
        <v>855.36450000000002</v>
      </c>
      <c r="N8" s="166" t="s">
        <v>35</v>
      </c>
    </row>
    <row r="9" spans="2:14" s="4" customFormat="1">
      <c r="B9" s="164"/>
      <c r="C9" s="51" t="s">
        <v>60</v>
      </c>
      <c r="D9" s="25" t="s">
        <v>63</v>
      </c>
      <c r="E9" s="42" t="s">
        <v>64</v>
      </c>
      <c r="F9" s="52">
        <f>7850*0.01*0.235</f>
        <v>18.447499999999998</v>
      </c>
      <c r="G9" s="158">
        <v>213</v>
      </c>
      <c r="H9" s="158"/>
      <c r="I9" s="159">
        <f>2*I8</f>
        <v>10</v>
      </c>
      <c r="J9" s="160"/>
      <c r="K9" s="29" t="s">
        <v>84</v>
      </c>
      <c r="L9" s="14">
        <f t="shared" si="0"/>
        <v>3.9293174999999998</v>
      </c>
      <c r="M9" s="81">
        <f t="shared" si="1"/>
        <v>39.293174999999998</v>
      </c>
      <c r="N9" s="167"/>
    </row>
    <row r="10" spans="2:14" s="4" customFormat="1">
      <c r="B10" s="164"/>
      <c r="C10" s="51" t="s">
        <v>61</v>
      </c>
      <c r="D10" s="25" t="s">
        <v>63</v>
      </c>
      <c r="E10" s="42" t="s">
        <v>65</v>
      </c>
      <c r="F10" s="52">
        <f>7850*0.01*0.135</f>
        <v>10.5975</v>
      </c>
      <c r="G10" s="158">
        <v>57</v>
      </c>
      <c r="H10" s="158"/>
      <c r="I10" s="159">
        <f>I9</f>
        <v>10</v>
      </c>
      <c r="J10" s="160"/>
      <c r="K10" s="29" t="s">
        <v>84</v>
      </c>
      <c r="L10" s="14">
        <f t="shared" si="0"/>
        <v>0.60405750000000002</v>
      </c>
      <c r="M10" s="81">
        <f t="shared" si="1"/>
        <v>6.0405750000000005</v>
      </c>
      <c r="N10" s="167"/>
    </row>
    <row r="11" spans="2:14" s="4" customFormat="1">
      <c r="B11" s="164"/>
      <c r="C11" s="58" t="s">
        <v>62</v>
      </c>
      <c r="D11" s="27" t="s">
        <v>63</v>
      </c>
      <c r="E11" s="59" t="s">
        <v>66</v>
      </c>
      <c r="F11" s="60">
        <f>7850*0.01*0.054</f>
        <v>4.2389999999999999</v>
      </c>
      <c r="G11" s="162">
        <v>203</v>
      </c>
      <c r="H11" s="162"/>
      <c r="I11" s="159">
        <f>I9</f>
        <v>10</v>
      </c>
      <c r="J11" s="160"/>
      <c r="K11" s="30" t="s">
        <v>84</v>
      </c>
      <c r="L11" s="23">
        <f t="shared" si="0"/>
        <v>0.86051699999999998</v>
      </c>
      <c r="M11" s="83">
        <f t="shared" si="1"/>
        <v>8.6051699999999993</v>
      </c>
      <c r="N11" s="168"/>
    </row>
    <row r="12" spans="2:14" s="4" customFormat="1">
      <c r="B12" s="164" t="s">
        <v>33</v>
      </c>
      <c r="C12" s="53" t="s">
        <v>12</v>
      </c>
      <c r="D12" s="54" t="s">
        <v>17</v>
      </c>
      <c r="E12" s="55">
        <v>240</v>
      </c>
      <c r="F12" s="56">
        <v>30.71</v>
      </c>
      <c r="G12" s="165">
        <v>8087.5</v>
      </c>
      <c r="H12" s="165"/>
      <c r="I12" s="153">
        <v>1</v>
      </c>
      <c r="J12" s="154"/>
      <c r="K12" s="28" t="s">
        <v>84</v>
      </c>
      <c r="L12" s="57">
        <f t="shared" si="0"/>
        <v>248.36712500000002</v>
      </c>
      <c r="M12" s="82">
        <f t="shared" si="1"/>
        <v>248.36712500000002</v>
      </c>
      <c r="N12" s="166" t="s">
        <v>35</v>
      </c>
    </row>
    <row r="13" spans="2:14" s="4" customFormat="1">
      <c r="B13" s="164"/>
      <c r="C13" s="51" t="s">
        <v>60</v>
      </c>
      <c r="D13" s="25" t="s">
        <v>63</v>
      </c>
      <c r="E13" s="42" t="s">
        <v>64</v>
      </c>
      <c r="F13" s="52">
        <f>7850*0.01*0.235</f>
        <v>18.447499999999998</v>
      </c>
      <c r="G13" s="158">
        <v>213</v>
      </c>
      <c r="H13" s="158"/>
      <c r="I13" s="159">
        <f>2*I12</f>
        <v>2</v>
      </c>
      <c r="J13" s="160"/>
      <c r="K13" s="29" t="s">
        <v>84</v>
      </c>
      <c r="L13" s="14">
        <f t="shared" si="0"/>
        <v>3.9293174999999998</v>
      </c>
      <c r="M13" s="81">
        <f t="shared" si="1"/>
        <v>7.8586349999999996</v>
      </c>
      <c r="N13" s="167"/>
    </row>
    <row r="14" spans="2:14" s="4" customFormat="1">
      <c r="B14" s="164"/>
      <c r="C14" s="51" t="s">
        <v>61</v>
      </c>
      <c r="D14" s="25" t="s">
        <v>63</v>
      </c>
      <c r="E14" s="42" t="s">
        <v>65</v>
      </c>
      <c r="F14" s="52">
        <f>7850*0.01*0.135</f>
        <v>10.5975</v>
      </c>
      <c r="G14" s="158">
        <v>57</v>
      </c>
      <c r="H14" s="158"/>
      <c r="I14" s="159">
        <f>I13</f>
        <v>2</v>
      </c>
      <c r="J14" s="160"/>
      <c r="K14" s="29" t="s">
        <v>84</v>
      </c>
      <c r="L14" s="14">
        <f t="shared" si="0"/>
        <v>0.60405750000000002</v>
      </c>
      <c r="M14" s="81">
        <f t="shared" si="1"/>
        <v>1.208115</v>
      </c>
      <c r="N14" s="167"/>
    </row>
    <row r="15" spans="2:14" s="4" customFormat="1">
      <c r="B15" s="164"/>
      <c r="C15" s="58" t="s">
        <v>62</v>
      </c>
      <c r="D15" s="27" t="s">
        <v>63</v>
      </c>
      <c r="E15" s="59" t="s">
        <v>66</v>
      </c>
      <c r="F15" s="60">
        <f>7850*0.01*0.054</f>
        <v>4.2389999999999999</v>
      </c>
      <c r="G15" s="162">
        <v>203</v>
      </c>
      <c r="H15" s="162"/>
      <c r="I15" s="159">
        <f>I13</f>
        <v>2</v>
      </c>
      <c r="J15" s="160"/>
      <c r="K15" s="30" t="s">
        <v>84</v>
      </c>
      <c r="L15" s="23">
        <f t="shared" si="0"/>
        <v>0.86051699999999998</v>
      </c>
      <c r="M15" s="83">
        <f t="shared" si="1"/>
        <v>1.721034</v>
      </c>
      <c r="N15" s="168"/>
    </row>
    <row r="16" spans="2:14" s="4" customFormat="1">
      <c r="B16" s="164" t="s">
        <v>215</v>
      </c>
      <c r="C16" s="53" t="s">
        <v>12</v>
      </c>
      <c r="D16" s="54" t="s">
        <v>17</v>
      </c>
      <c r="E16" s="55">
        <v>240</v>
      </c>
      <c r="F16" s="56">
        <v>30.71</v>
      </c>
      <c r="G16" s="165">
        <v>8087.5</v>
      </c>
      <c r="H16" s="165"/>
      <c r="I16" s="153">
        <v>2</v>
      </c>
      <c r="J16" s="154"/>
      <c r="K16" s="28" t="s">
        <v>84</v>
      </c>
      <c r="L16" s="57">
        <f t="shared" ref="L16:L19" si="3">IF(I16&lt;&gt;"",(F16*G16*0.001),"")</f>
        <v>248.36712500000002</v>
      </c>
      <c r="M16" s="82">
        <f t="shared" ref="M16:M21" si="4">IF(I16&lt;&gt;"",I16*L16,"")</f>
        <v>496.73425000000003</v>
      </c>
      <c r="N16" s="166" t="s">
        <v>35</v>
      </c>
    </row>
    <row r="17" spans="2:14" s="4" customFormat="1">
      <c r="B17" s="164"/>
      <c r="C17" s="51" t="s">
        <v>60</v>
      </c>
      <c r="D17" s="25" t="s">
        <v>63</v>
      </c>
      <c r="E17" s="42" t="s">
        <v>64</v>
      </c>
      <c r="F17" s="52">
        <f>7850*0.01*0.235</f>
        <v>18.447499999999998</v>
      </c>
      <c r="G17" s="158">
        <v>213</v>
      </c>
      <c r="H17" s="158"/>
      <c r="I17" s="159">
        <f>2*I16</f>
        <v>4</v>
      </c>
      <c r="J17" s="160"/>
      <c r="K17" s="29" t="s">
        <v>84</v>
      </c>
      <c r="L17" s="14">
        <f t="shared" si="3"/>
        <v>3.9293174999999998</v>
      </c>
      <c r="M17" s="81">
        <f t="shared" si="4"/>
        <v>15.717269999999999</v>
      </c>
      <c r="N17" s="167"/>
    </row>
    <row r="18" spans="2:14" s="4" customFormat="1">
      <c r="B18" s="164"/>
      <c r="C18" s="51" t="s">
        <v>61</v>
      </c>
      <c r="D18" s="25" t="s">
        <v>63</v>
      </c>
      <c r="E18" s="42" t="s">
        <v>65</v>
      </c>
      <c r="F18" s="52">
        <f>7850*0.01*0.135</f>
        <v>10.5975</v>
      </c>
      <c r="G18" s="158">
        <v>57</v>
      </c>
      <c r="H18" s="158"/>
      <c r="I18" s="159">
        <f>I17</f>
        <v>4</v>
      </c>
      <c r="J18" s="160"/>
      <c r="K18" s="29" t="s">
        <v>84</v>
      </c>
      <c r="L18" s="14">
        <f t="shared" si="3"/>
        <v>0.60405750000000002</v>
      </c>
      <c r="M18" s="81">
        <f t="shared" si="4"/>
        <v>2.4162300000000001</v>
      </c>
      <c r="N18" s="167"/>
    </row>
    <row r="19" spans="2:14" s="4" customFormat="1">
      <c r="B19" s="164"/>
      <c r="C19" s="111" t="s">
        <v>62</v>
      </c>
      <c r="D19" s="25" t="s">
        <v>63</v>
      </c>
      <c r="E19" s="42" t="s">
        <v>66</v>
      </c>
      <c r="F19" s="52">
        <f>7850*0.01*0.054</f>
        <v>4.2389999999999999</v>
      </c>
      <c r="G19" s="157">
        <v>203</v>
      </c>
      <c r="H19" s="158"/>
      <c r="I19" s="159">
        <f>I18</f>
        <v>4</v>
      </c>
      <c r="J19" s="160"/>
      <c r="K19" s="29" t="s">
        <v>84</v>
      </c>
      <c r="L19" s="14">
        <f t="shared" si="3"/>
        <v>0.86051699999999998</v>
      </c>
      <c r="M19" s="81">
        <f t="shared" si="4"/>
        <v>3.4420679999999999</v>
      </c>
      <c r="N19" s="167"/>
    </row>
    <row r="20" spans="2:14" s="4" customFormat="1">
      <c r="B20" s="164"/>
      <c r="C20" s="51" t="s">
        <v>204</v>
      </c>
      <c r="D20" s="25" t="s">
        <v>63</v>
      </c>
      <c r="E20" s="42" t="s">
        <v>219</v>
      </c>
      <c r="F20" s="52">
        <f>7850*0.055*0.006</f>
        <v>2.5905</v>
      </c>
      <c r="G20" s="158">
        <v>226</v>
      </c>
      <c r="H20" s="158"/>
      <c r="I20" s="159">
        <f>I19</f>
        <v>4</v>
      </c>
      <c r="J20" s="160"/>
      <c r="K20" s="29" t="s">
        <v>84</v>
      </c>
      <c r="L20" s="14">
        <f>IF(I20&lt;&gt;"",(F20*G20*0.001),"")</f>
        <v>0.585453</v>
      </c>
      <c r="M20" s="81">
        <f t="shared" si="4"/>
        <v>2.341812</v>
      </c>
      <c r="N20" s="167"/>
    </row>
    <row r="21" spans="2:14" s="4" customFormat="1">
      <c r="B21" s="164"/>
      <c r="C21" s="51" t="s">
        <v>203</v>
      </c>
      <c r="D21" s="25" t="s">
        <v>63</v>
      </c>
      <c r="E21" s="42" t="s">
        <v>145</v>
      </c>
      <c r="F21" s="52">
        <f>7850*0.006*0.084</f>
        <v>3.9564000000000004</v>
      </c>
      <c r="G21" s="158">
        <v>240</v>
      </c>
      <c r="H21" s="158"/>
      <c r="I21" s="159">
        <f>I20</f>
        <v>4</v>
      </c>
      <c r="J21" s="160"/>
      <c r="K21" s="29" t="s">
        <v>84</v>
      </c>
      <c r="L21" s="14">
        <f t="shared" ref="L21" si="5">IF(I21&lt;&gt;"",(F21*G21*0.001),"")</f>
        <v>0.94953600000000005</v>
      </c>
      <c r="M21" s="81">
        <f t="shared" si="4"/>
        <v>3.7981440000000002</v>
      </c>
      <c r="N21" s="168"/>
    </row>
    <row r="22" spans="2:14" s="4" customFormat="1">
      <c r="B22" s="164" t="s">
        <v>216</v>
      </c>
      <c r="C22" s="53" t="s">
        <v>12</v>
      </c>
      <c r="D22" s="54" t="s">
        <v>17</v>
      </c>
      <c r="E22" s="55">
        <v>240</v>
      </c>
      <c r="F22" s="56">
        <v>30.71</v>
      </c>
      <c r="G22" s="165">
        <v>8087.5</v>
      </c>
      <c r="H22" s="165"/>
      <c r="I22" s="153">
        <v>2</v>
      </c>
      <c r="J22" s="154"/>
      <c r="K22" s="28" t="s">
        <v>84</v>
      </c>
      <c r="L22" s="57">
        <f t="shared" ref="L22:L25" si="6">IF(I22&lt;&gt;"",(F22*G22*0.001),"")</f>
        <v>248.36712500000002</v>
      </c>
      <c r="M22" s="82">
        <f t="shared" ref="M22:M27" si="7">IF(I22&lt;&gt;"",I22*L22,"")</f>
        <v>496.73425000000003</v>
      </c>
      <c r="N22" s="166" t="s">
        <v>35</v>
      </c>
    </row>
    <row r="23" spans="2:14" s="4" customFormat="1">
      <c r="B23" s="164"/>
      <c r="C23" s="51" t="s">
        <v>60</v>
      </c>
      <c r="D23" s="25" t="s">
        <v>63</v>
      </c>
      <c r="E23" s="42" t="s">
        <v>64</v>
      </c>
      <c r="F23" s="52">
        <f>7850*0.01*0.235</f>
        <v>18.447499999999998</v>
      </c>
      <c r="G23" s="158">
        <v>213</v>
      </c>
      <c r="H23" s="158"/>
      <c r="I23" s="159">
        <f>2*I22</f>
        <v>4</v>
      </c>
      <c r="J23" s="160"/>
      <c r="K23" s="29" t="s">
        <v>84</v>
      </c>
      <c r="L23" s="14">
        <f t="shared" si="6"/>
        <v>3.9293174999999998</v>
      </c>
      <c r="M23" s="81">
        <f t="shared" si="7"/>
        <v>15.717269999999999</v>
      </c>
      <c r="N23" s="167"/>
    </row>
    <row r="24" spans="2:14" s="4" customFormat="1">
      <c r="B24" s="164"/>
      <c r="C24" s="51" t="s">
        <v>61</v>
      </c>
      <c r="D24" s="25" t="s">
        <v>63</v>
      </c>
      <c r="E24" s="42" t="s">
        <v>65</v>
      </c>
      <c r="F24" s="52">
        <f>7850*0.01*0.135</f>
        <v>10.5975</v>
      </c>
      <c r="G24" s="158">
        <v>57</v>
      </c>
      <c r="H24" s="158"/>
      <c r="I24" s="159">
        <f>I23</f>
        <v>4</v>
      </c>
      <c r="J24" s="160"/>
      <c r="K24" s="29" t="s">
        <v>84</v>
      </c>
      <c r="L24" s="14">
        <f t="shared" si="6"/>
        <v>0.60405750000000002</v>
      </c>
      <c r="M24" s="81">
        <f t="shared" si="7"/>
        <v>2.4162300000000001</v>
      </c>
      <c r="N24" s="167"/>
    </row>
    <row r="25" spans="2:14" s="4" customFormat="1">
      <c r="B25" s="164"/>
      <c r="C25" s="111" t="s">
        <v>62</v>
      </c>
      <c r="D25" s="25" t="s">
        <v>63</v>
      </c>
      <c r="E25" s="42" t="s">
        <v>66</v>
      </c>
      <c r="F25" s="52">
        <f>7850*0.01*0.054</f>
        <v>4.2389999999999999</v>
      </c>
      <c r="G25" s="157">
        <v>203</v>
      </c>
      <c r="H25" s="158"/>
      <c r="I25" s="159">
        <f>I23</f>
        <v>4</v>
      </c>
      <c r="J25" s="160"/>
      <c r="K25" s="29" t="s">
        <v>84</v>
      </c>
      <c r="L25" s="14">
        <f t="shared" si="6"/>
        <v>0.86051699999999998</v>
      </c>
      <c r="M25" s="81">
        <f t="shared" si="7"/>
        <v>3.4420679999999999</v>
      </c>
      <c r="N25" s="167"/>
    </row>
    <row r="26" spans="2:14" s="4" customFormat="1">
      <c r="B26" s="164"/>
      <c r="C26" s="51" t="s">
        <v>204</v>
      </c>
      <c r="D26" s="25" t="s">
        <v>63</v>
      </c>
      <c r="E26" s="42" t="s">
        <v>219</v>
      </c>
      <c r="F26" s="52">
        <f>7850*0.055*0.006</f>
        <v>2.5905</v>
      </c>
      <c r="G26" s="158">
        <v>226</v>
      </c>
      <c r="H26" s="158"/>
      <c r="I26" s="159">
        <f>I25</f>
        <v>4</v>
      </c>
      <c r="J26" s="160"/>
      <c r="K26" s="29" t="s">
        <v>84</v>
      </c>
      <c r="L26" s="14">
        <f>IF(I26&lt;&gt;"",(F26*G26*0.001),"")</f>
        <v>0.585453</v>
      </c>
      <c r="M26" s="81">
        <f t="shared" si="7"/>
        <v>2.341812</v>
      </c>
      <c r="N26" s="167"/>
    </row>
    <row r="27" spans="2:14" s="4" customFormat="1">
      <c r="B27" s="164"/>
      <c r="C27" s="51" t="s">
        <v>203</v>
      </c>
      <c r="D27" s="25" t="s">
        <v>63</v>
      </c>
      <c r="E27" s="42" t="s">
        <v>145</v>
      </c>
      <c r="F27" s="52">
        <f>7850*0.006*0.084</f>
        <v>3.9564000000000004</v>
      </c>
      <c r="G27" s="158">
        <v>240</v>
      </c>
      <c r="H27" s="158"/>
      <c r="I27" s="159">
        <f>I26</f>
        <v>4</v>
      </c>
      <c r="J27" s="160"/>
      <c r="K27" s="29" t="s">
        <v>84</v>
      </c>
      <c r="L27" s="14">
        <f t="shared" ref="L27" si="8">IF(I27&lt;&gt;"",(F27*G27*0.001),"")</f>
        <v>0.94953600000000005</v>
      </c>
      <c r="M27" s="81">
        <f t="shared" si="7"/>
        <v>3.7981440000000002</v>
      </c>
      <c r="N27" s="168"/>
    </row>
    <row r="28" spans="2:14" s="4" customFormat="1">
      <c r="B28" s="164" t="s">
        <v>217</v>
      </c>
      <c r="C28" s="53" t="s">
        <v>26</v>
      </c>
      <c r="D28" s="54" t="s">
        <v>17</v>
      </c>
      <c r="E28" s="55">
        <v>270</v>
      </c>
      <c r="F28" s="56">
        <v>36.07</v>
      </c>
      <c r="G28" s="165">
        <v>8717</v>
      </c>
      <c r="H28" s="165"/>
      <c r="I28" s="153">
        <v>2</v>
      </c>
      <c r="J28" s="154"/>
      <c r="K28" s="28" t="s">
        <v>84</v>
      </c>
      <c r="L28" s="57">
        <f t="shared" ref="L28:L31" si="9">IF(I28&lt;&gt;"",(F28*G28*0.001),"")</f>
        <v>314.42219</v>
      </c>
      <c r="M28" s="82">
        <f t="shared" si="1"/>
        <v>628.84438</v>
      </c>
      <c r="N28" s="166" t="s">
        <v>35</v>
      </c>
    </row>
    <row r="29" spans="2:14" s="4" customFormat="1">
      <c r="B29" s="164"/>
      <c r="C29" s="51" t="s">
        <v>60</v>
      </c>
      <c r="D29" s="25" t="s">
        <v>63</v>
      </c>
      <c r="E29" s="42" t="s">
        <v>64</v>
      </c>
      <c r="F29" s="52">
        <f>7850*0.01*0.235</f>
        <v>18.447499999999998</v>
      </c>
      <c r="G29" s="158">
        <v>213</v>
      </c>
      <c r="H29" s="158"/>
      <c r="I29" s="159">
        <f>2*I28</f>
        <v>4</v>
      </c>
      <c r="J29" s="160"/>
      <c r="K29" s="29" t="s">
        <v>84</v>
      </c>
      <c r="L29" s="14">
        <f t="shared" si="9"/>
        <v>3.9293174999999998</v>
      </c>
      <c r="M29" s="81">
        <f t="shared" si="1"/>
        <v>15.717269999999999</v>
      </c>
      <c r="N29" s="167"/>
    </row>
    <row r="30" spans="2:14" s="4" customFormat="1">
      <c r="B30" s="164"/>
      <c r="C30" s="51" t="s">
        <v>61</v>
      </c>
      <c r="D30" s="25" t="s">
        <v>63</v>
      </c>
      <c r="E30" s="42" t="s">
        <v>65</v>
      </c>
      <c r="F30" s="52">
        <f>7850*0.01*0.135</f>
        <v>10.5975</v>
      </c>
      <c r="G30" s="158">
        <v>57</v>
      </c>
      <c r="H30" s="158"/>
      <c r="I30" s="159">
        <f>I29</f>
        <v>4</v>
      </c>
      <c r="J30" s="160"/>
      <c r="K30" s="29" t="s">
        <v>84</v>
      </c>
      <c r="L30" s="14">
        <f t="shared" si="9"/>
        <v>0.60405750000000002</v>
      </c>
      <c r="M30" s="81">
        <f t="shared" si="1"/>
        <v>2.4162300000000001</v>
      </c>
      <c r="N30" s="167"/>
    </row>
    <row r="31" spans="2:14" s="4" customFormat="1">
      <c r="B31" s="164"/>
      <c r="C31" s="111" t="s">
        <v>62</v>
      </c>
      <c r="D31" s="25" t="s">
        <v>63</v>
      </c>
      <c r="E31" s="42" t="s">
        <v>66</v>
      </c>
      <c r="F31" s="52">
        <f>7850*0.01*0.054</f>
        <v>4.2389999999999999</v>
      </c>
      <c r="G31" s="157">
        <v>203</v>
      </c>
      <c r="H31" s="158"/>
      <c r="I31" s="159">
        <f>I30</f>
        <v>4</v>
      </c>
      <c r="J31" s="160"/>
      <c r="K31" s="29" t="s">
        <v>84</v>
      </c>
      <c r="L31" s="14">
        <f t="shared" si="9"/>
        <v>0.86051699999999998</v>
      </c>
      <c r="M31" s="81">
        <f t="shared" si="1"/>
        <v>3.4420679999999999</v>
      </c>
      <c r="N31" s="167"/>
    </row>
    <row r="32" spans="2:14" s="4" customFormat="1">
      <c r="B32" s="164"/>
      <c r="C32" s="51" t="s">
        <v>90</v>
      </c>
      <c r="D32" s="25" t="s">
        <v>63</v>
      </c>
      <c r="E32" s="42" t="s">
        <v>151</v>
      </c>
      <c r="F32" s="52">
        <f>7850*0.006*0.062</f>
        <v>2.9201999999999999</v>
      </c>
      <c r="G32" s="158">
        <v>246</v>
      </c>
      <c r="H32" s="158"/>
      <c r="I32" s="159">
        <f>I31</f>
        <v>4</v>
      </c>
      <c r="J32" s="160"/>
      <c r="K32" s="29" t="s">
        <v>84</v>
      </c>
      <c r="L32" s="14">
        <f>IF(I32&lt;&gt;"",(F32*G32*0.001),"")</f>
        <v>0.71836920000000004</v>
      </c>
      <c r="M32" s="81">
        <f t="shared" si="1"/>
        <v>2.8734768000000002</v>
      </c>
      <c r="N32" s="167"/>
    </row>
    <row r="33" spans="2:14" s="4" customFormat="1">
      <c r="B33" s="164"/>
      <c r="C33" s="51" t="s">
        <v>100</v>
      </c>
      <c r="D33" s="25" t="s">
        <v>63</v>
      </c>
      <c r="E33" s="42" t="s">
        <v>145</v>
      </c>
      <c r="F33" s="52">
        <f>7850*0.006*0.084</f>
        <v>3.9564000000000004</v>
      </c>
      <c r="G33" s="158">
        <v>270</v>
      </c>
      <c r="H33" s="158"/>
      <c r="I33" s="159">
        <f>I32</f>
        <v>4</v>
      </c>
      <c r="J33" s="160"/>
      <c r="K33" s="29" t="s">
        <v>84</v>
      </c>
      <c r="L33" s="14">
        <f t="shared" ref="L33:L37" si="10">IF(I33&lt;&gt;"",(F33*G33*0.001),"")</f>
        <v>1.0682280000000002</v>
      </c>
      <c r="M33" s="81">
        <f t="shared" si="1"/>
        <v>4.2729120000000007</v>
      </c>
      <c r="N33" s="168"/>
    </row>
    <row r="34" spans="2:14" s="4" customFormat="1">
      <c r="B34" s="164" t="s">
        <v>218</v>
      </c>
      <c r="C34" s="53" t="s">
        <v>26</v>
      </c>
      <c r="D34" s="54" t="s">
        <v>17</v>
      </c>
      <c r="E34" s="55">
        <v>270</v>
      </c>
      <c r="F34" s="56">
        <v>36.07</v>
      </c>
      <c r="G34" s="165">
        <v>8717</v>
      </c>
      <c r="H34" s="165"/>
      <c r="I34" s="153">
        <v>3</v>
      </c>
      <c r="J34" s="154"/>
      <c r="K34" s="28" t="s">
        <v>84</v>
      </c>
      <c r="L34" s="57">
        <f t="shared" si="10"/>
        <v>314.42219</v>
      </c>
      <c r="M34" s="82">
        <f t="shared" si="1"/>
        <v>943.26657</v>
      </c>
      <c r="N34" s="166" t="s">
        <v>35</v>
      </c>
    </row>
    <row r="35" spans="2:14" s="4" customFormat="1">
      <c r="B35" s="164"/>
      <c r="C35" s="51" t="s">
        <v>60</v>
      </c>
      <c r="D35" s="25" t="s">
        <v>63</v>
      </c>
      <c r="E35" s="42" t="s">
        <v>64</v>
      </c>
      <c r="F35" s="52">
        <f>7850*0.01*0.235</f>
        <v>18.447499999999998</v>
      </c>
      <c r="G35" s="158">
        <v>213</v>
      </c>
      <c r="H35" s="158"/>
      <c r="I35" s="159">
        <f>2*I34</f>
        <v>6</v>
      </c>
      <c r="J35" s="160"/>
      <c r="K35" s="29" t="s">
        <v>84</v>
      </c>
      <c r="L35" s="14">
        <f t="shared" si="10"/>
        <v>3.9293174999999998</v>
      </c>
      <c r="M35" s="81">
        <f t="shared" si="1"/>
        <v>23.575904999999999</v>
      </c>
      <c r="N35" s="167"/>
    </row>
    <row r="36" spans="2:14" s="4" customFormat="1">
      <c r="B36" s="164"/>
      <c r="C36" s="51" t="s">
        <v>61</v>
      </c>
      <c r="D36" s="25" t="s">
        <v>63</v>
      </c>
      <c r="E36" s="42" t="s">
        <v>65</v>
      </c>
      <c r="F36" s="52">
        <f>7850*0.01*0.135</f>
        <v>10.5975</v>
      </c>
      <c r="G36" s="158">
        <v>57</v>
      </c>
      <c r="H36" s="158"/>
      <c r="I36" s="159">
        <f>I35</f>
        <v>6</v>
      </c>
      <c r="J36" s="160"/>
      <c r="K36" s="29" t="s">
        <v>84</v>
      </c>
      <c r="L36" s="14">
        <f t="shared" si="10"/>
        <v>0.60405750000000002</v>
      </c>
      <c r="M36" s="81">
        <f t="shared" si="1"/>
        <v>3.6243449999999999</v>
      </c>
      <c r="N36" s="167"/>
    </row>
    <row r="37" spans="2:14" s="4" customFormat="1">
      <c r="B37" s="164"/>
      <c r="C37" s="111" t="s">
        <v>62</v>
      </c>
      <c r="D37" s="25" t="s">
        <v>63</v>
      </c>
      <c r="E37" s="42" t="s">
        <v>66</v>
      </c>
      <c r="F37" s="52">
        <f>7850*0.01*0.054</f>
        <v>4.2389999999999999</v>
      </c>
      <c r="G37" s="157">
        <v>203</v>
      </c>
      <c r="H37" s="158"/>
      <c r="I37" s="159">
        <f>I36</f>
        <v>6</v>
      </c>
      <c r="J37" s="160"/>
      <c r="K37" s="29" t="s">
        <v>84</v>
      </c>
      <c r="L37" s="14">
        <f t="shared" si="10"/>
        <v>0.86051699999999998</v>
      </c>
      <c r="M37" s="81">
        <f t="shared" si="1"/>
        <v>5.1631020000000003</v>
      </c>
      <c r="N37" s="167"/>
    </row>
    <row r="38" spans="2:14" s="4" customFormat="1">
      <c r="B38" s="164"/>
      <c r="C38" s="51" t="s">
        <v>90</v>
      </c>
      <c r="D38" s="25" t="s">
        <v>63</v>
      </c>
      <c r="E38" s="42" t="s">
        <v>151</v>
      </c>
      <c r="F38" s="52">
        <f>7850*0.006*0.062</f>
        <v>2.9201999999999999</v>
      </c>
      <c r="G38" s="158">
        <v>246</v>
      </c>
      <c r="H38" s="158"/>
      <c r="I38" s="159">
        <f>I37</f>
        <v>6</v>
      </c>
      <c r="J38" s="160"/>
      <c r="K38" s="29" t="s">
        <v>84</v>
      </c>
      <c r="L38" s="14">
        <f>IF(I38&lt;&gt;"",(F38*G38*0.001),"")</f>
        <v>0.71836920000000004</v>
      </c>
      <c r="M38" s="81">
        <f t="shared" si="1"/>
        <v>4.3102152</v>
      </c>
      <c r="N38" s="167"/>
    </row>
    <row r="39" spans="2:14" s="4" customFormat="1">
      <c r="B39" s="164"/>
      <c r="C39" s="51" t="s">
        <v>100</v>
      </c>
      <c r="D39" s="25" t="s">
        <v>63</v>
      </c>
      <c r="E39" s="42" t="s">
        <v>145</v>
      </c>
      <c r="F39" s="52">
        <f>7850*0.006*0.084</f>
        <v>3.9564000000000004</v>
      </c>
      <c r="G39" s="158">
        <v>270</v>
      </c>
      <c r="H39" s="158"/>
      <c r="I39" s="159">
        <f>I38</f>
        <v>6</v>
      </c>
      <c r="J39" s="160"/>
      <c r="K39" s="29" t="s">
        <v>84</v>
      </c>
      <c r="L39" s="14">
        <f t="shared" ref="L39" si="11">IF(I39&lt;&gt;"",(F39*G39*0.001),"")</f>
        <v>1.0682280000000002</v>
      </c>
      <c r="M39" s="81">
        <f t="shared" si="1"/>
        <v>6.4093680000000006</v>
      </c>
      <c r="N39" s="168"/>
    </row>
    <row r="40" spans="2:14" s="4" customFormat="1">
      <c r="B40" s="164" t="s">
        <v>34</v>
      </c>
      <c r="C40" s="53" t="s">
        <v>26</v>
      </c>
      <c r="D40" s="54" t="s">
        <v>17</v>
      </c>
      <c r="E40" s="55">
        <v>270</v>
      </c>
      <c r="F40" s="56">
        <v>36.07</v>
      </c>
      <c r="G40" s="165">
        <v>8717</v>
      </c>
      <c r="H40" s="165"/>
      <c r="I40" s="153">
        <v>7</v>
      </c>
      <c r="J40" s="154"/>
      <c r="K40" s="28" t="s">
        <v>84</v>
      </c>
      <c r="L40" s="57">
        <f t="shared" si="0"/>
        <v>314.42219</v>
      </c>
      <c r="M40" s="82">
        <f t="shared" si="1"/>
        <v>2200.9553299999998</v>
      </c>
      <c r="N40" s="166" t="s">
        <v>35</v>
      </c>
    </row>
    <row r="41" spans="2:14" s="4" customFormat="1">
      <c r="B41" s="164"/>
      <c r="C41" s="51" t="s">
        <v>60</v>
      </c>
      <c r="D41" s="25" t="s">
        <v>63</v>
      </c>
      <c r="E41" s="42" t="s">
        <v>64</v>
      </c>
      <c r="F41" s="52">
        <f>7850*0.01*0.235</f>
        <v>18.447499999999998</v>
      </c>
      <c r="G41" s="158">
        <v>213</v>
      </c>
      <c r="H41" s="158"/>
      <c r="I41" s="159">
        <f>2*I40</f>
        <v>14</v>
      </c>
      <c r="J41" s="160"/>
      <c r="K41" s="29" t="s">
        <v>84</v>
      </c>
      <c r="L41" s="14">
        <f t="shared" si="0"/>
        <v>3.9293174999999998</v>
      </c>
      <c r="M41" s="81">
        <f t="shared" si="1"/>
        <v>55.010444999999997</v>
      </c>
      <c r="N41" s="167"/>
    </row>
    <row r="42" spans="2:14" s="4" customFormat="1">
      <c r="B42" s="164"/>
      <c r="C42" s="51" t="s">
        <v>61</v>
      </c>
      <c r="D42" s="25" t="s">
        <v>63</v>
      </c>
      <c r="E42" s="42" t="s">
        <v>65</v>
      </c>
      <c r="F42" s="52">
        <f>7850*0.01*0.135</f>
        <v>10.5975</v>
      </c>
      <c r="G42" s="158">
        <v>57</v>
      </c>
      <c r="H42" s="158"/>
      <c r="I42" s="159">
        <f>I41</f>
        <v>14</v>
      </c>
      <c r="J42" s="160"/>
      <c r="K42" s="29" t="s">
        <v>84</v>
      </c>
      <c r="L42" s="14">
        <f t="shared" si="0"/>
        <v>0.60405750000000002</v>
      </c>
      <c r="M42" s="81">
        <f t="shared" si="1"/>
        <v>8.456805000000001</v>
      </c>
      <c r="N42" s="167"/>
    </row>
    <row r="43" spans="2:14" s="4" customFormat="1">
      <c r="B43" s="164"/>
      <c r="C43" s="58" t="s">
        <v>62</v>
      </c>
      <c r="D43" s="27" t="s">
        <v>63</v>
      </c>
      <c r="E43" s="59" t="s">
        <v>66</v>
      </c>
      <c r="F43" s="60">
        <f>7850*0.01*0.054</f>
        <v>4.2389999999999999</v>
      </c>
      <c r="G43" s="162">
        <v>203</v>
      </c>
      <c r="H43" s="162"/>
      <c r="I43" s="159">
        <f>I41</f>
        <v>14</v>
      </c>
      <c r="J43" s="160"/>
      <c r="K43" s="30" t="s">
        <v>84</v>
      </c>
      <c r="L43" s="23">
        <f t="shared" si="0"/>
        <v>0.86051699999999998</v>
      </c>
      <c r="M43" s="83">
        <f t="shared" si="1"/>
        <v>12.047238</v>
      </c>
      <c r="N43" s="168"/>
    </row>
    <row r="44" spans="2:14" s="4" customFormat="1">
      <c r="B44" s="164" t="s">
        <v>149</v>
      </c>
      <c r="C44" s="53" t="s">
        <v>26</v>
      </c>
      <c r="D44" s="54" t="s">
        <v>17</v>
      </c>
      <c r="E44" s="55">
        <v>270</v>
      </c>
      <c r="F44" s="56">
        <v>36.07</v>
      </c>
      <c r="G44" s="165">
        <v>8717</v>
      </c>
      <c r="H44" s="165"/>
      <c r="I44" s="153">
        <v>3</v>
      </c>
      <c r="J44" s="154"/>
      <c r="K44" s="28" t="s">
        <v>84</v>
      </c>
      <c r="L44" s="57">
        <f t="shared" ref="L44:L52" si="12">IF(I44&lt;&gt;"",(F44*G44*0.001),"")</f>
        <v>314.42219</v>
      </c>
      <c r="M44" s="82">
        <f t="shared" ref="M44:M52" si="13">IF(I44&lt;&gt;"",I44*L44,"")</f>
        <v>943.26657</v>
      </c>
      <c r="N44" s="166" t="s">
        <v>35</v>
      </c>
    </row>
    <row r="45" spans="2:14" s="4" customFormat="1">
      <c r="B45" s="164"/>
      <c r="C45" s="51" t="s">
        <v>60</v>
      </c>
      <c r="D45" s="25" t="s">
        <v>63</v>
      </c>
      <c r="E45" s="42" t="s">
        <v>64</v>
      </c>
      <c r="F45" s="52">
        <f>7850*0.01*0.235</f>
        <v>18.447499999999998</v>
      </c>
      <c r="G45" s="158">
        <v>213</v>
      </c>
      <c r="H45" s="158"/>
      <c r="I45" s="159">
        <f>2*I44</f>
        <v>6</v>
      </c>
      <c r="J45" s="160"/>
      <c r="K45" s="29" t="s">
        <v>84</v>
      </c>
      <c r="L45" s="14">
        <f t="shared" si="12"/>
        <v>3.9293174999999998</v>
      </c>
      <c r="M45" s="81">
        <f t="shared" si="13"/>
        <v>23.575904999999999</v>
      </c>
      <c r="N45" s="167"/>
    </row>
    <row r="46" spans="2:14" s="4" customFormat="1">
      <c r="B46" s="164"/>
      <c r="C46" s="51" t="s">
        <v>61</v>
      </c>
      <c r="D46" s="25" t="s">
        <v>63</v>
      </c>
      <c r="E46" s="42" t="s">
        <v>65</v>
      </c>
      <c r="F46" s="52">
        <f>7850*0.01*0.135</f>
        <v>10.5975</v>
      </c>
      <c r="G46" s="158">
        <v>57</v>
      </c>
      <c r="H46" s="158"/>
      <c r="I46" s="159">
        <f>I45</f>
        <v>6</v>
      </c>
      <c r="J46" s="160"/>
      <c r="K46" s="29" t="s">
        <v>84</v>
      </c>
      <c r="L46" s="14">
        <f t="shared" si="12"/>
        <v>0.60405750000000002</v>
      </c>
      <c r="M46" s="81">
        <f t="shared" si="13"/>
        <v>3.6243449999999999</v>
      </c>
      <c r="N46" s="167"/>
    </row>
    <row r="47" spans="2:14" s="4" customFormat="1">
      <c r="B47" s="164"/>
      <c r="C47" s="111" t="s">
        <v>62</v>
      </c>
      <c r="D47" s="25" t="s">
        <v>63</v>
      </c>
      <c r="E47" s="42" t="s">
        <v>66</v>
      </c>
      <c r="F47" s="52">
        <f>7850*0.01*0.054</f>
        <v>4.2389999999999999</v>
      </c>
      <c r="G47" s="157">
        <v>203</v>
      </c>
      <c r="H47" s="158"/>
      <c r="I47" s="159">
        <f>I46</f>
        <v>6</v>
      </c>
      <c r="J47" s="160"/>
      <c r="K47" s="29" t="s">
        <v>84</v>
      </c>
      <c r="L47" s="14">
        <f t="shared" ref="L47:L49" si="14">IF(I47&lt;&gt;"",(F47*G47*0.001),"")</f>
        <v>0.86051699999999998</v>
      </c>
      <c r="M47" s="81">
        <f t="shared" ref="M47:M49" si="15">IF(I47&lt;&gt;"",I47*L47,"")</f>
        <v>5.1631020000000003</v>
      </c>
      <c r="N47" s="167"/>
    </row>
    <row r="48" spans="2:14" s="4" customFormat="1">
      <c r="B48" s="164"/>
      <c r="C48" s="51" t="s">
        <v>90</v>
      </c>
      <c r="D48" s="25" t="s">
        <v>63</v>
      </c>
      <c r="E48" s="42" t="s">
        <v>151</v>
      </c>
      <c r="F48" s="52">
        <f>7850*0.006*0.062</f>
        <v>2.9201999999999999</v>
      </c>
      <c r="G48" s="158">
        <v>246</v>
      </c>
      <c r="H48" s="158"/>
      <c r="I48" s="159">
        <f>I47</f>
        <v>6</v>
      </c>
      <c r="J48" s="160"/>
      <c r="K48" s="29" t="s">
        <v>84</v>
      </c>
      <c r="L48" s="14">
        <f>IF(I48&lt;&gt;"",(F48*G48*0.001),"")</f>
        <v>0.71836920000000004</v>
      </c>
      <c r="M48" s="81">
        <f t="shared" si="15"/>
        <v>4.3102152</v>
      </c>
      <c r="N48" s="167"/>
    </row>
    <row r="49" spans="2:14" s="4" customFormat="1">
      <c r="B49" s="164"/>
      <c r="C49" s="51" t="s">
        <v>100</v>
      </c>
      <c r="D49" s="25" t="s">
        <v>63</v>
      </c>
      <c r="E49" s="42" t="s">
        <v>145</v>
      </c>
      <c r="F49" s="52">
        <f>7850*0.006*0.084</f>
        <v>3.9564000000000004</v>
      </c>
      <c r="G49" s="158">
        <v>270</v>
      </c>
      <c r="H49" s="158"/>
      <c r="I49" s="159">
        <f>I48</f>
        <v>6</v>
      </c>
      <c r="J49" s="160"/>
      <c r="K49" s="29" t="s">
        <v>84</v>
      </c>
      <c r="L49" s="14">
        <f t="shared" si="14"/>
        <v>1.0682280000000002</v>
      </c>
      <c r="M49" s="81">
        <f t="shared" si="15"/>
        <v>6.4093680000000006</v>
      </c>
      <c r="N49" s="168"/>
    </row>
    <row r="50" spans="2:14" s="4" customFormat="1">
      <c r="B50" s="164" t="s">
        <v>150</v>
      </c>
      <c r="C50" s="53" t="s">
        <v>26</v>
      </c>
      <c r="D50" s="54" t="s">
        <v>17</v>
      </c>
      <c r="E50" s="55">
        <v>270</v>
      </c>
      <c r="F50" s="56">
        <v>36.07</v>
      </c>
      <c r="G50" s="165">
        <v>8717</v>
      </c>
      <c r="H50" s="165"/>
      <c r="I50" s="153">
        <v>2</v>
      </c>
      <c r="J50" s="154"/>
      <c r="K50" s="28" t="s">
        <v>84</v>
      </c>
      <c r="L50" s="57">
        <f t="shared" si="12"/>
        <v>314.42219</v>
      </c>
      <c r="M50" s="82">
        <f t="shared" si="13"/>
        <v>628.84438</v>
      </c>
      <c r="N50" s="166" t="s">
        <v>35</v>
      </c>
    </row>
    <row r="51" spans="2:14" s="4" customFormat="1">
      <c r="B51" s="164"/>
      <c r="C51" s="51" t="s">
        <v>60</v>
      </c>
      <c r="D51" s="25" t="s">
        <v>63</v>
      </c>
      <c r="E51" s="42" t="s">
        <v>64</v>
      </c>
      <c r="F51" s="52">
        <f>7850*0.01*0.235</f>
        <v>18.447499999999998</v>
      </c>
      <c r="G51" s="158">
        <v>213</v>
      </c>
      <c r="H51" s="158"/>
      <c r="I51" s="159">
        <f>2*I50</f>
        <v>4</v>
      </c>
      <c r="J51" s="160"/>
      <c r="K51" s="29" t="s">
        <v>84</v>
      </c>
      <c r="L51" s="14">
        <f t="shared" si="12"/>
        <v>3.9293174999999998</v>
      </c>
      <c r="M51" s="81">
        <f t="shared" si="13"/>
        <v>15.717269999999999</v>
      </c>
      <c r="N51" s="167"/>
    </row>
    <row r="52" spans="2:14" s="4" customFormat="1">
      <c r="B52" s="164"/>
      <c r="C52" s="51" t="s">
        <v>61</v>
      </c>
      <c r="D52" s="25" t="s">
        <v>63</v>
      </c>
      <c r="E52" s="42" t="s">
        <v>65</v>
      </c>
      <c r="F52" s="52">
        <f>7850*0.01*0.135</f>
        <v>10.5975</v>
      </c>
      <c r="G52" s="158">
        <v>57</v>
      </c>
      <c r="H52" s="158"/>
      <c r="I52" s="159">
        <f>I51</f>
        <v>4</v>
      </c>
      <c r="J52" s="160"/>
      <c r="K52" s="29" t="s">
        <v>84</v>
      </c>
      <c r="L52" s="14">
        <f t="shared" si="12"/>
        <v>0.60405750000000002</v>
      </c>
      <c r="M52" s="81">
        <f t="shared" si="13"/>
        <v>2.4162300000000001</v>
      </c>
      <c r="N52" s="167"/>
    </row>
    <row r="53" spans="2:14" s="4" customFormat="1">
      <c r="B53" s="164"/>
      <c r="C53" s="111" t="s">
        <v>62</v>
      </c>
      <c r="D53" s="25" t="s">
        <v>63</v>
      </c>
      <c r="E53" s="42" t="s">
        <v>66</v>
      </c>
      <c r="F53" s="52">
        <f>7850*0.01*0.054</f>
        <v>4.2389999999999999</v>
      </c>
      <c r="G53" s="157">
        <v>203</v>
      </c>
      <c r="H53" s="158"/>
      <c r="I53" s="159">
        <f>I52</f>
        <v>4</v>
      </c>
      <c r="J53" s="160"/>
      <c r="K53" s="29" t="s">
        <v>84</v>
      </c>
      <c r="L53" s="14">
        <f t="shared" ref="L53:L55" si="16">IF(I53&lt;&gt;"",(F53*G53*0.001),"")</f>
        <v>0.86051699999999998</v>
      </c>
      <c r="M53" s="81">
        <f t="shared" ref="M53:M55" si="17">IF(I53&lt;&gt;"",I53*L53,"")</f>
        <v>3.4420679999999999</v>
      </c>
      <c r="N53" s="167"/>
    </row>
    <row r="54" spans="2:14" s="4" customFormat="1">
      <c r="B54" s="164"/>
      <c r="C54" s="51" t="s">
        <v>90</v>
      </c>
      <c r="D54" s="25" t="s">
        <v>63</v>
      </c>
      <c r="E54" s="42" t="s">
        <v>151</v>
      </c>
      <c r="F54" s="52">
        <f>7850*0.006*0.062</f>
        <v>2.9201999999999999</v>
      </c>
      <c r="G54" s="158">
        <v>246</v>
      </c>
      <c r="H54" s="158"/>
      <c r="I54" s="159">
        <f>I53</f>
        <v>4</v>
      </c>
      <c r="J54" s="160"/>
      <c r="K54" s="29" t="s">
        <v>84</v>
      </c>
      <c r="L54" s="14">
        <f t="shared" si="16"/>
        <v>0.71836920000000004</v>
      </c>
      <c r="M54" s="81">
        <f t="shared" si="17"/>
        <v>2.8734768000000002</v>
      </c>
      <c r="N54" s="167"/>
    </row>
    <row r="55" spans="2:14" s="4" customFormat="1">
      <c r="B55" s="164"/>
      <c r="C55" s="51" t="s">
        <v>100</v>
      </c>
      <c r="D55" s="25" t="s">
        <v>63</v>
      </c>
      <c r="E55" s="42" t="s">
        <v>145</v>
      </c>
      <c r="F55" s="52">
        <f>7850*0.006*0.084</f>
        <v>3.9564000000000004</v>
      </c>
      <c r="G55" s="158">
        <v>270</v>
      </c>
      <c r="H55" s="158"/>
      <c r="I55" s="169">
        <f>I54</f>
        <v>4</v>
      </c>
      <c r="J55" s="160"/>
      <c r="K55" s="29" t="s">
        <v>84</v>
      </c>
      <c r="L55" s="14">
        <f t="shared" si="16"/>
        <v>1.0682280000000002</v>
      </c>
      <c r="M55" s="81">
        <f t="shared" si="17"/>
        <v>4.2729120000000007</v>
      </c>
      <c r="N55" s="168"/>
    </row>
    <row r="56" spans="2:14" s="4" customFormat="1">
      <c r="B56" s="164" t="s">
        <v>69</v>
      </c>
      <c r="C56" s="53" t="s">
        <v>70</v>
      </c>
      <c r="D56" s="54" t="s">
        <v>17</v>
      </c>
      <c r="E56" s="55">
        <v>160</v>
      </c>
      <c r="F56" s="56">
        <v>15.8</v>
      </c>
      <c r="G56" s="165">
        <v>4908</v>
      </c>
      <c r="H56" s="165"/>
      <c r="I56" s="153">
        <v>1</v>
      </c>
      <c r="J56" s="154"/>
      <c r="K56" s="28" t="s">
        <v>84</v>
      </c>
      <c r="L56" s="57">
        <f t="shared" ref="L56:L59" si="18">IF(I56&lt;&gt;"",(F56*G56*0.001),"")</f>
        <v>77.546400000000006</v>
      </c>
      <c r="M56" s="82">
        <f t="shared" ref="M56:M59" si="19">IF(I56&lt;&gt;"",I56*L56,"")</f>
        <v>77.546400000000006</v>
      </c>
      <c r="N56" s="166" t="s">
        <v>35</v>
      </c>
    </row>
    <row r="57" spans="2:14" s="4" customFormat="1">
      <c r="B57" s="164"/>
      <c r="C57" s="51" t="s">
        <v>60</v>
      </c>
      <c r="D57" s="25" t="s">
        <v>63</v>
      </c>
      <c r="E57" s="42" t="s">
        <v>64</v>
      </c>
      <c r="F57" s="52">
        <f>7850*0.01*0.235</f>
        <v>18.447499999999998</v>
      </c>
      <c r="G57" s="158">
        <v>213</v>
      </c>
      <c r="H57" s="158"/>
      <c r="I57" s="159">
        <f>2*I56</f>
        <v>2</v>
      </c>
      <c r="J57" s="160"/>
      <c r="K57" s="29" t="s">
        <v>84</v>
      </c>
      <c r="L57" s="14">
        <f t="shared" si="18"/>
        <v>3.9293174999999998</v>
      </c>
      <c r="M57" s="81">
        <f t="shared" si="19"/>
        <v>7.8586349999999996</v>
      </c>
      <c r="N57" s="167"/>
    </row>
    <row r="58" spans="2:14" s="4" customFormat="1">
      <c r="B58" s="164"/>
      <c r="C58" s="51" t="s">
        <v>61</v>
      </c>
      <c r="D58" s="25" t="s">
        <v>63</v>
      </c>
      <c r="E58" s="42" t="s">
        <v>65</v>
      </c>
      <c r="F58" s="52">
        <f>7850*0.01*0.135</f>
        <v>10.5975</v>
      </c>
      <c r="G58" s="158">
        <v>57</v>
      </c>
      <c r="H58" s="158"/>
      <c r="I58" s="159">
        <f>I57</f>
        <v>2</v>
      </c>
      <c r="J58" s="160"/>
      <c r="K58" s="29" t="s">
        <v>84</v>
      </c>
      <c r="L58" s="14">
        <f t="shared" si="18"/>
        <v>0.60405750000000002</v>
      </c>
      <c r="M58" s="81">
        <f t="shared" si="19"/>
        <v>1.208115</v>
      </c>
      <c r="N58" s="167"/>
    </row>
    <row r="59" spans="2:14" s="4" customFormat="1">
      <c r="B59" s="164"/>
      <c r="C59" s="58" t="s">
        <v>62</v>
      </c>
      <c r="D59" s="27" t="s">
        <v>63</v>
      </c>
      <c r="E59" s="59" t="s">
        <v>66</v>
      </c>
      <c r="F59" s="60">
        <f>7850*0.01*0.054</f>
        <v>4.2389999999999999</v>
      </c>
      <c r="G59" s="162">
        <v>203</v>
      </c>
      <c r="H59" s="162"/>
      <c r="I59" s="159">
        <f>I57</f>
        <v>2</v>
      </c>
      <c r="J59" s="160"/>
      <c r="K59" s="30" t="s">
        <v>84</v>
      </c>
      <c r="L59" s="23">
        <f t="shared" si="18"/>
        <v>0.86051699999999998</v>
      </c>
      <c r="M59" s="83">
        <f t="shared" si="19"/>
        <v>1.721034</v>
      </c>
      <c r="N59" s="168"/>
    </row>
    <row r="60" spans="2:14" s="4" customFormat="1">
      <c r="B60" s="170" t="s">
        <v>36</v>
      </c>
      <c r="C60" s="51" t="s">
        <v>36</v>
      </c>
      <c r="D60" s="25" t="s">
        <v>39</v>
      </c>
      <c r="E60" s="42" t="s">
        <v>40</v>
      </c>
      <c r="F60" s="52">
        <v>6.9</v>
      </c>
      <c r="G60" s="157">
        <v>2980</v>
      </c>
      <c r="H60" s="175"/>
      <c r="I60" s="153">
        <v>38</v>
      </c>
      <c r="J60" s="154"/>
      <c r="K60" s="29" t="s">
        <v>84</v>
      </c>
      <c r="L60" s="14">
        <f t="shared" si="0"/>
        <v>20.562000000000001</v>
      </c>
      <c r="M60" s="81">
        <f t="shared" si="1"/>
        <v>781.35599999999999</v>
      </c>
      <c r="N60" s="155" t="s">
        <v>38</v>
      </c>
    </row>
    <row r="61" spans="2:14" s="4" customFormat="1">
      <c r="B61" s="171"/>
      <c r="C61" s="79" t="s">
        <v>67</v>
      </c>
      <c r="D61" s="27" t="s">
        <v>63</v>
      </c>
      <c r="E61" s="59" t="s">
        <v>68</v>
      </c>
      <c r="F61" s="60">
        <f>7850*0.006*0.14</f>
        <v>6.5940000000000012</v>
      </c>
      <c r="G61" s="162">
        <v>60</v>
      </c>
      <c r="H61" s="162"/>
      <c r="I61" s="180">
        <f>2*I60</f>
        <v>76</v>
      </c>
      <c r="J61" s="181"/>
      <c r="K61" s="30" t="s">
        <v>84</v>
      </c>
      <c r="L61" s="23">
        <f t="shared" si="0"/>
        <v>0.3956400000000001</v>
      </c>
      <c r="M61" s="83">
        <f t="shared" ref="M61:M75" si="20">IF(I61&lt;&gt;"",I61*L61,"")</f>
        <v>30.068640000000009</v>
      </c>
      <c r="N61" s="156"/>
    </row>
    <row r="62" spans="2:14" s="4" customFormat="1">
      <c r="B62" s="170" t="s">
        <v>75</v>
      </c>
      <c r="C62" s="78" t="s">
        <v>37</v>
      </c>
      <c r="D62" s="54" t="s">
        <v>39</v>
      </c>
      <c r="E62" s="77" t="s">
        <v>40</v>
      </c>
      <c r="F62" s="56">
        <v>6.9</v>
      </c>
      <c r="G62" s="151">
        <v>2860</v>
      </c>
      <c r="H62" s="152"/>
      <c r="I62" s="153">
        <v>5</v>
      </c>
      <c r="J62" s="154"/>
      <c r="K62" s="28" t="s">
        <v>84</v>
      </c>
      <c r="L62" s="57">
        <f t="shared" si="0"/>
        <v>19.734000000000002</v>
      </c>
      <c r="M62" s="82">
        <f t="shared" si="20"/>
        <v>98.670000000000016</v>
      </c>
      <c r="N62" s="155" t="s">
        <v>38</v>
      </c>
    </row>
    <row r="63" spans="2:14" s="4" customFormat="1">
      <c r="B63" s="171"/>
      <c r="C63" s="79" t="s">
        <v>67</v>
      </c>
      <c r="D63" s="27" t="s">
        <v>63</v>
      </c>
      <c r="E63" s="59" t="s">
        <v>68</v>
      </c>
      <c r="F63" s="60">
        <f>7850*0.006*0.14</f>
        <v>6.5940000000000012</v>
      </c>
      <c r="G63" s="162">
        <v>60</v>
      </c>
      <c r="H63" s="162"/>
      <c r="I63" s="180">
        <f>I62*2</f>
        <v>10</v>
      </c>
      <c r="J63" s="181"/>
      <c r="K63" s="30" t="s">
        <v>84</v>
      </c>
      <c r="L63" s="23">
        <f t="shared" si="0"/>
        <v>0.3956400000000001</v>
      </c>
      <c r="M63" s="83">
        <f t="shared" si="20"/>
        <v>3.9564000000000012</v>
      </c>
      <c r="N63" s="156"/>
    </row>
    <row r="64" spans="2:14" s="4" customFormat="1">
      <c r="B64" s="170" t="s">
        <v>76</v>
      </c>
      <c r="C64" s="78" t="s">
        <v>37</v>
      </c>
      <c r="D64" s="54" t="s">
        <v>39</v>
      </c>
      <c r="E64" s="77" t="s">
        <v>40</v>
      </c>
      <c r="F64" s="56">
        <v>6.9</v>
      </c>
      <c r="G64" s="151">
        <v>2260</v>
      </c>
      <c r="H64" s="152"/>
      <c r="I64" s="153">
        <v>2</v>
      </c>
      <c r="J64" s="154"/>
      <c r="K64" s="28" t="s">
        <v>84</v>
      </c>
      <c r="L64" s="57">
        <f t="shared" si="0"/>
        <v>15.594000000000001</v>
      </c>
      <c r="M64" s="82">
        <f t="shared" si="20"/>
        <v>31.188000000000002</v>
      </c>
      <c r="N64" s="155" t="s">
        <v>38</v>
      </c>
    </row>
    <row r="65" spans="2:15" s="4" customFormat="1">
      <c r="B65" s="171"/>
      <c r="C65" s="58" t="s">
        <v>67</v>
      </c>
      <c r="D65" s="27" t="s">
        <v>63</v>
      </c>
      <c r="E65" s="59" t="s">
        <v>68</v>
      </c>
      <c r="F65" s="60">
        <f>7850*0.006*0.14</f>
        <v>6.5940000000000012</v>
      </c>
      <c r="G65" s="162">
        <v>60</v>
      </c>
      <c r="H65" s="162"/>
      <c r="I65" s="159">
        <v>4</v>
      </c>
      <c r="J65" s="160"/>
      <c r="K65" s="30" t="s">
        <v>84</v>
      </c>
      <c r="L65" s="23">
        <f t="shared" si="0"/>
        <v>0.3956400000000001</v>
      </c>
      <c r="M65" s="83">
        <f t="shared" si="20"/>
        <v>1.5825600000000004</v>
      </c>
      <c r="N65" s="156"/>
    </row>
    <row r="66" spans="2:15" s="4" customFormat="1">
      <c r="B66" s="170" t="s">
        <v>77</v>
      </c>
      <c r="C66" s="51" t="s">
        <v>37</v>
      </c>
      <c r="D66" s="25" t="s">
        <v>39</v>
      </c>
      <c r="E66" s="42" t="s">
        <v>40</v>
      </c>
      <c r="F66" s="52">
        <v>6.9</v>
      </c>
      <c r="G66" s="151">
        <v>2695</v>
      </c>
      <c r="H66" s="152"/>
      <c r="I66" s="153">
        <v>1</v>
      </c>
      <c r="J66" s="154"/>
      <c r="K66" s="28" t="s">
        <v>84</v>
      </c>
      <c r="L66" s="14">
        <f t="shared" si="0"/>
        <v>18.595500000000001</v>
      </c>
      <c r="M66" s="81">
        <f t="shared" si="20"/>
        <v>18.595500000000001</v>
      </c>
      <c r="N66" s="161" t="s">
        <v>38</v>
      </c>
    </row>
    <row r="67" spans="2:15" s="4" customFormat="1">
      <c r="B67" s="171"/>
      <c r="C67" s="58" t="s">
        <v>67</v>
      </c>
      <c r="D67" s="27" t="s">
        <v>63</v>
      </c>
      <c r="E67" s="59" t="s">
        <v>68</v>
      </c>
      <c r="F67" s="60">
        <f>7850*0.006*0.14</f>
        <v>6.5940000000000012</v>
      </c>
      <c r="G67" s="162">
        <v>60</v>
      </c>
      <c r="H67" s="162"/>
      <c r="I67" s="159">
        <v>2</v>
      </c>
      <c r="J67" s="160"/>
      <c r="K67" s="30" t="s">
        <v>84</v>
      </c>
      <c r="L67" s="23">
        <f t="shared" si="0"/>
        <v>0.3956400000000001</v>
      </c>
      <c r="M67" s="83">
        <f t="shared" si="20"/>
        <v>0.79128000000000021</v>
      </c>
      <c r="N67" s="156"/>
    </row>
    <row r="68" spans="2:15" s="4" customFormat="1">
      <c r="B68" s="170" t="s">
        <v>78</v>
      </c>
      <c r="C68" s="51" t="s">
        <v>37</v>
      </c>
      <c r="D68" s="25" t="s">
        <v>39</v>
      </c>
      <c r="E68" s="42" t="s">
        <v>40</v>
      </c>
      <c r="F68" s="52">
        <v>6.9</v>
      </c>
      <c r="G68" s="151">
        <v>1485</v>
      </c>
      <c r="H68" s="152"/>
      <c r="I68" s="153">
        <v>1</v>
      </c>
      <c r="J68" s="154"/>
      <c r="K68" s="28" t="s">
        <v>84</v>
      </c>
      <c r="L68" s="14">
        <f t="shared" si="0"/>
        <v>10.246500000000001</v>
      </c>
      <c r="M68" s="81">
        <f t="shared" si="20"/>
        <v>10.246500000000001</v>
      </c>
      <c r="N68" s="161" t="s">
        <v>38</v>
      </c>
    </row>
    <row r="69" spans="2:15" s="4" customFormat="1">
      <c r="B69" s="171"/>
      <c r="C69" s="58" t="s">
        <v>67</v>
      </c>
      <c r="D69" s="27" t="s">
        <v>63</v>
      </c>
      <c r="E69" s="59" t="s">
        <v>68</v>
      </c>
      <c r="F69" s="60">
        <f>7850*0.006*0.14</f>
        <v>6.5940000000000012</v>
      </c>
      <c r="G69" s="162">
        <v>60</v>
      </c>
      <c r="H69" s="162"/>
      <c r="I69" s="159">
        <v>2</v>
      </c>
      <c r="J69" s="160"/>
      <c r="K69" s="30" t="s">
        <v>84</v>
      </c>
      <c r="L69" s="23">
        <f t="shared" si="0"/>
        <v>0.3956400000000001</v>
      </c>
      <c r="M69" s="83">
        <f t="shared" si="20"/>
        <v>0.79128000000000021</v>
      </c>
      <c r="N69" s="156"/>
    </row>
    <row r="70" spans="2:15" s="4" customFormat="1">
      <c r="B70" s="170" t="s">
        <v>79</v>
      </c>
      <c r="C70" s="51" t="s">
        <v>37</v>
      </c>
      <c r="D70" s="25" t="s">
        <v>39</v>
      </c>
      <c r="E70" s="42" t="s">
        <v>40</v>
      </c>
      <c r="F70" s="52">
        <v>6.9</v>
      </c>
      <c r="G70" s="151">
        <v>2425</v>
      </c>
      <c r="H70" s="152"/>
      <c r="I70" s="153">
        <v>1</v>
      </c>
      <c r="J70" s="154"/>
      <c r="K70" s="28" t="s">
        <v>84</v>
      </c>
      <c r="L70" s="14">
        <f t="shared" si="0"/>
        <v>16.732500000000002</v>
      </c>
      <c r="M70" s="81">
        <f t="shared" si="20"/>
        <v>16.732500000000002</v>
      </c>
      <c r="N70" s="161" t="s">
        <v>38</v>
      </c>
    </row>
    <row r="71" spans="2:15" s="4" customFormat="1">
      <c r="B71" s="171"/>
      <c r="C71" s="58" t="s">
        <v>67</v>
      </c>
      <c r="D71" s="27" t="s">
        <v>63</v>
      </c>
      <c r="E71" s="59" t="s">
        <v>68</v>
      </c>
      <c r="F71" s="60">
        <f>7850*0.006*0.14</f>
        <v>6.5940000000000012</v>
      </c>
      <c r="G71" s="162">
        <v>60</v>
      </c>
      <c r="H71" s="162"/>
      <c r="I71" s="159">
        <v>2</v>
      </c>
      <c r="J71" s="160"/>
      <c r="K71" s="30" t="s">
        <v>84</v>
      </c>
      <c r="L71" s="23">
        <f t="shared" si="0"/>
        <v>0.3956400000000001</v>
      </c>
      <c r="M71" s="83">
        <f t="shared" si="20"/>
        <v>0.79128000000000021</v>
      </c>
      <c r="N71" s="156"/>
    </row>
    <row r="72" spans="2:15" s="4" customFormat="1">
      <c r="B72" s="170" t="s">
        <v>80</v>
      </c>
      <c r="C72" s="51" t="s">
        <v>37</v>
      </c>
      <c r="D72" s="25" t="s">
        <v>39</v>
      </c>
      <c r="E72" s="42" t="s">
        <v>40</v>
      </c>
      <c r="F72" s="52">
        <v>6.9</v>
      </c>
      <c r="G72" s="151">
        <v>2130</v>
      </c>
      <c r="H72" s="152"/>
      <c r="I72" s="153">
        <v>1</v>
      </c>
      <c r="J72" s="154"/>
      <c r="K72" s="28" t="s">
        <v>84</v>
      </c>
      <c r="L72" s="14">
        <f t="shared" si="0"/>
        <v>14.697000000000001</v>
      </c>
      <c r="M72" s="81">
        <f t="shared" si="20"/>
        <v>14.697000000000001</v>
      </c>
      <c r="N72" s="161" t="s">
        <v>38</v>
      </c>
    </row>
    <row r="73" spans="2:15" s="4" customFormat="1">
      <c r="B73" s="171"/>
      <c r="C73" s="58" t="s">
        <v>67</v>
      </c>
      <c r="D73" s="27" t="s">
        <v>63</v>
      </c>
      <c r="E73" s="59" t="s">
        <v>68</v>
      </c>
      <c r="F73" s="60">
        <f>7850*0.006*0.14</f>
        <v>6.5940000000000012</v>
      </c>
      <c r="G73" s="162">
        <v>60</v>
      </c>
      <c r="H73" s="162"/>
      <c r="I73" s="159">
        <v>2</v>
      </c>
      <c r="J73" s="160"/>
      <c r="K73" s="30" t="s">
        <v>84</v>
      </c>
      <c r="L73" s="23">
        <f t="shared" si="0"/>
        <v>0.3956400000000001</v>
      </c>
      <c r="M73" s="83">
        <f t="shared" si="20"/>
        <v>0.79128000000000021</v>
      </c>
      <c r="N73" s="156"/>
    </row>
    <row r="74" spans="2:15" s="4" customFormat="1">
      <c r="B74" s="170" t="s">
        <v>81</v>
      </c>
      <c r="C74" s="53" t="s">
        <v>37</v>
      </c>
      <c r="D74" s="54" t="s">
        <v>39</v>
      </c>
      <c r="E74" s="77" t="s">
        <v>40</v>
      </c>
      <c r="F74" s="56">
        <v>6.9</v>
      </c>
      <c r="G74" s="151">
        <v>1585</v>
      </c>
      <c r="H74" s="152"/>
      <c r="I74" s="153">
        <v>1</v>
      </c>
      <c r="J74" s="154"/>
      <c r="K74" s="28" t="s">
        <v>84</v>
      </c>
      <c r="L74" s="57">
        <f t="shared" si="0"/>
        <v>10.936500000000001</v>
      </c>
      <c r="M74" s="82">
        <f t="shared" si="20"/>
        <v>10.936500000000001</v>
      </c>
      <c r="N74" s="155" t="s">
        <v>38</v>
      </c>
    </row>
    <row r="75" spans="2:15" s="4" customFormat="1">
      <c r="B75" s="171"/>
      <c r="C75" s="58" t="s">
        <v>67</v>
      </c>
      <c r="D75" s="27" t="s">
        <v>63</v>
      </c>
      <c r="E75" s="59" t="s">
        <v>68</v>
      </c>
      <c r="F75" s="60">
        <f>7850*0.006*0.14</f>
        <v>6.5940000000000012</v>
      </c>
      <c r="G75" s="162">
        <v>60</v>
      </c>
      <c r="H75" s="162"/>
      <c r="I75" s="180">
        <v>2</v>
      </c>
      <c r="J75" s="181"/>
      <c r="K75" s="30" t="s">
        <v>84</v>
      </c>
      <c r="L75" s="23">
        <f t="shared" si="0"/>
        <v>0.3956400000000001</v>
      </c>
      <c r="M75" s="83">
        <f t="shared" si="20"/>
        <v>0.79128000000000021</v>
      </c>
      <c r="N75" s="156"/>
    </row>
    <row r="76" spans="2:15" s="4" customFormat="1">
      <c r="B76" s="5"/>
      <c r="C76" s="6"/>
      <c r="D76" s="178" t="s">
        <v>1</v>
      </c>
      <c r="E76" s="178"/>
      <c r="F76" s="179" t="s">
        <v>8</v>
      </c>
      <c r="G76" s="179"/>
      <c r="I76" s="11"/>
      <c r="J76" s="11" t="str">
        <f>IF(SUM(M4:M75)=F89,"","BŁĄD")</f>
        <v/>
      </c>
      <c r="K76" s="68"/>
    </row>
    <row r="77" spans="2:15" s="4" customFormat="1">
      <c r="B77" s="5"/>
      <c r="C77" s="6"/>
      <c r="D77" s="25" t="s">
        <v>39</v>
      </c>
      <c r="E77" s="42" t="s">
        <v>40</v>
      </c>
      <c r="F77" s="67">
        <f>IF(E77&lt;&gt;"",SUMIF(E4:E75,E77,M4:M75),"")</f>
        <v>982.42200000000003</v>
      </c>
      <c r="G77" s="7" t="str">
        <f t="shared" ref="G77:G87" si="21">IF(F77&lt;&gt;"","kg","")</f>
        <v>kg</v>
      </c>
      <c r="J77" s="91" t="s">
        <v>112</v>
      </c>
      <c r="K77" s="149" t="s">
        <v>111</v>
      </c>
      <c r="L77" s="149"/>
      <c r="M77" s="74" t="s">
        <v>85</v>
      </c>
      <c r="N77" s="74" t="s">
        <v>114</v>
      </c>
      <c r="O77" s="74" t="s">
        <v>116</v>
      </c>
    </row>
    <row r="78" spans="2:15" s="4" customFormat="1" ht="11.25" customHeight="1">
      <c r="B78" s="5"/>
      <c r="C78" s="6"/>
      <c r="D78" s="25" t="s">
        <v>63</v>
      </c>
      <c r="E78" s="42" t="s">
        <v>64</v>
      </c>
      <c r="F78" s="67">
        <f>IF(E78&lt;&gt;"",SUMIF(E4:E75,E78,M4:M75),"")</f>
        <v>353.63857499999989</v>
      </c>
      <c r="G78" s="7" t="str">
        <f t="shared" si="21"/>
        <v>kg</v>
      </c>
      <c r="J78" s="150" t="s">
        <v>113</v>
      </c>
      <c r="K78" s="163" t="s">
        <v>115</v>
      </c>
      <c r="L78" s="163"/>
      <c r="M78" s="149">
        <v>2</v>
      </c>
      <c r="N78" s="149">
        <f>(I4+I8+I12+I40+I56)*2</f>
        <v>62</v>
      </c>
      <c r="O78" s="149">
        <f>N78*M78</f>
        <v>124</v>
      </c>
    </row>
    <row r="79" spans="2:15" s="4" customFormat="1">
      <c r="B79" s="5"/>
      <c r="C79" s="6"/>
      <c r="D79" s="25" t="s">
        <v>63</v>
      </c>
      <c r="E79" s="42" t="s">
        <v>65</v>
      </c>
      <c r="F79" s="67">
        <f>IF(E79&lt;&gt;"",SUMIF(E4:E75,E79,M4:M75),"")</f>
        <v>54.365174999999994</v>
      </c>
      <c r="G79" s="7" t="str">
        <f t="shared" si="21"/>
        <v>kg</v>
      </c>
      <c r="J79" s="150"/>
      <c r="K79" s="163"/>
      <c r="L79" s="163"/>
      <c r="M79" s="149"/>
      <c r="N79" s="149"/>
      <c r="O79" s="149"/>
    </row>
    <row r="80" spans="2:15" s="4" customFormat="1">
      <c r="B80" s="5"/>
      <c r="C80" s="6"/>
      <c r="D80" s="25" t="s">
        <v>63</v>
      </c>
      <c r="E80" s="42" t="s">
        <v>66</v>
      </c>
      <c r="F80" s="67">
        <f>IF(E80&lt;&gt;"",SUMIF(E3:E75,E80,M3:M75),"")</f>
        <v>77.44653000000001</v>
      </c>
      <c r="G80" s="7" t="str">
        <f t="shared" si="21"/>
        <v>kg</v>
      </c>
      <c r="J80" s="150"/>
      <c r="K80" s="163"/>
      <c r="L80" s="163"/>
      <c r="M80" s="149"/>
      <c r="N80" s="149"/>
      <c r="O80" s="149"/>
    </row>
    <row r="81" spans="2:15" s="4" customFormat="1">
      <c r="B81" s="5"/>
      <c r="C81" s="6"/>
      <c r="D81" s="25" t="s">
        <v>63</v>
      </c>
      <c r="E81" s="42" t="s">
        <v>68</v>
      </c>
      <c r="F81" s="67">
        <f>IF(E81&lt;&gt;"",SUMIF(E4:E76,E81,M4:M76),"")</f>
        <v>39.564000000000014</v>
      </c>
      <c r="G81" s="7" t="str">
        <f t="shared" si="21"/>
        <v>kg</v>
      </c>
      <c r="J81" s="150" t="s">
        <v>119</v>
      </c>
      <c r="K81" s="163" t="s">
        <v>122</v>
      </c>
      <c r="L81" s="163"/>
      <c r="M81" s="149">
        <v>2</v>
      </c>
      <c r="N81" s="149">
        <v>12</v>
      </c>
      <c r="O81" s="149">
        <f>N81*M81</f>
        <v>24</v>
      </c>
    </row>
    <row r="82" spans="2:15" s="4" customFormat="1">
      <c r="B82" s="5"/>
      <c r="C82" s="6"/>
      <c r="D82" s="25" t="s">
        <v>63</v>
      </c>
      <c r="E82" s="42" t="s">
        <v>145</v>
      </c>
      <c r="F82" s="103">
        <f>IF(E82&lt;&gt;"",SUMIF(E3:E75,E82,M3:M75),"")</f>
        <v>28.960848000000002</v>
      </c>
      <c r="G82" s="7" t="str">
        <f t="shared" ref="G82:G83" si="22">IF(F82&lt;&gt;"","kg","")</f>
        <v>kg</v>
      </c>
      <c r="J82" s="150"/>
      <c r="K82" s="163"/>
      <c r="L82" s="163"/>
      <c r="M82" s="149"/>
      <c r="N82" s="149"/>
      <c r="O82" s="149"/>
    </row>
    <row r="83" spans="2:15" s="4" customFormat="1">
      <c r="B83" s="5"/>
      <c r="C83" s="6"/>
      <c r="D83" s="25" t="s">
        <v>63</v>
      </c>
      <c r="E83" s="42" t="s">
        <v>151</v>
      </c>
      <c r="F83" s="103">
        <f>IF(E83&lt;&gt;"",SUMIF(E3:E75,E83,M3:M75),"")</f>
        <v>14.367384000000001</v>
      </c>
      <c r="G83" s="7" t="str">
        <f t="shared" si="22"/>
        <v>kg</v>
      </c>
      <c r="J83" s="150"/>
      <c r="K83" s="163"/>
      <c r="L83" s="163"/>
      <c r="M83" s="149"/>
      <c r="N83" s="149"/>
      <c r="O83" s="149"/>
    </row>
    <row r="84" spans="2:15" s="4" customFormat="1">
      <c r="B84" s="5"/>
      <c r="C84" s="6"/>
      <c r="D84" s="25" t="s">
        <v>17</v>
      </c>
      <c r="E84" s="12">
        <v>160</v>
      </c>
      <c r="F84" s="67">
        <f>IF(E84&lt;&gt;"",SUMIF(E3:E75,E84,M3:M75),"")</f>
        <v>77.546400000000006</v>
      </c>
      <c r="G84" s="7" t="str">
        <f t="shared" si="21"/>
        <v>kg</v>
      </c>
      <c r="I84" s="11"/>
      <c r="J84" s="150"/>
      <c r="K84" s="163"/>
      <c r="L84" s="163"/>
      <c r="M84" s="149"/>
      <c r="N84" s="149"/>
      <c r="O84" s="149"/>
    </row>
    <row r="85" spans="2:15" s="4" customFormat="1">
      <c r="B85" s="5"/>
      <c r="C85" s="6"/>
      <c r="D85" s="25" t="s">
        <v>17</v>
      </c>
      <c r="E85" s="12">
        <v>220</v>
      </c>
      <c r="F85" s="67">
        <f>IF(E85&lt;&gt;"",SUMIF(E4:E75,E85,M4:M75),"")</f>
        <v>3901.9005000000002</v>
      </c>
      <c r="G85" s="7" t="str">
        <f t="shared" si="21"/>
        <v>kg</v>
      </c>
      <c r="I85" s="11"/>
      <c r="J85" s="150"/>
      <c r="K85" s="163"/>
      <c r="L85" s="163"/>
      <c r="M85" s="149"/>
      <c r="N85" s="149"/>
      <c r="O85" s="149"/>
    </row>
    <row r="86" spans="2:15" s="4" customFormat="1" ht="11.25" customHeight="1">
      <c r="B86" s="5"/>
      <c r="C86" s="6"/>
      <c r="D86" s="25" t="s">
        <v>17</v>
      </c>
      <c r="E86" s="12">
        <v>240</v>
      </c>
      <c r="F86" s="67">
        <f>IF(E86&lt;&gt;"",SUMIF(E4:E75,E86,M4:M75),"")</f>
        <v>1241.8356250000002</v>
      </c>
      <c r="G86" s="7" t="str">
        <f t="shared" si="21"/>
        <v>kg</v>
      </c>
      <c r="I86" s="11"/>
      <c r="J86" s="194" t="s">
        <v>120</v>
      </c>
      <c r="K86" s="197" t="s">
        <v>118</v>
      </c>
      <c r="L86" s="198"/>
      <c r="M86" s="203">
        <v>2</v>
      </c>
      <c r="N86" s="203">
        <v>44</v>
      </c>
      <c r="O86" s="203">
        <f>N86*M86</f>
        <v>88</v>
      </c>
    </row>
    <row r="87" spans="2:15" s="4" customFormat="1">
      <c r="B87" s="5"/>
      <c r="C87" s="6"/>
      <c r="D87" s="25" t="s">
        <v>17</v>
      </c>
      <c r="E87" s="12">
        <v>270</v>
      </c>
      <c r="F87" s="67">
        <f>IF(E87&lt;&gt;"",SUMIF(E4:E75,E87,M4:M75),"")</f>
        <v>5345.1772299999993</v>
      </c>
      <c r="G87" s="7" t="str">
        <f t="shared" si="21"/>
        <v>kg</v>
      </c>
      <c r="I87" s="11"/>
      <c r="J87" s="195"/>
      <c r="K87" s="199"/>
      <c r="L87" s="200"/>
      <c r="M87" s="204"/>
      <c r="N87" s="204"/>
      <c r="O87" s="204"/>
    </row>
    <row r="88" spans="2:15" s="4" customFormat="1">
      <c r="B88" s="5"/>
      <c r="C88" s="6"/>
      <c r="D88" s="25" t="s">
        <v>63</v>
      </c>
      <c r="E88" s="42" t="s">
        <v>219</v>
      </c>
      <c r="F88" s="125">
        <f>IF(E88&lt;&gt;"",SUMIF(E4:E75,E88,M4:M75),"")</f>
        <v>4.683624</v>
      </c>
      <c r="G88" s="129" t="s">
        <v>108</v>
      </c>
      <c r="I88" s="11"/>
      <c r="J88" s="196"/>
      <c r="K88" s="201"/>
      <c r="L88" s="202"/>
      <c r="M88" s="205"/>
      <c r="N88" s="205"/>
      <c r="O88" s="205"/>
    </row>
    <row r="89" spans="2:15" s="4" customFormat="1" ht="11.25" customHeight="1">
      <c r="B89" s="5"/>
      <c r="C89" s="8"/>
      <c r="D89" s="17"/>
      <c r="E89" s="18" t="s">
        <v>9</v>
      </c>
      <c r="F89" s="41">
        <f>SUM(F77:F88)</f>
        <v>12121.907890999999</v>
      </c>
      <c r="G89" s="19" t="s">
        <v>108</v>
      </c>
      <c r="I89" s="11"/>
      <c r="J89" s="194" t="s">
        <v>121</v>
      </c>
      <c r="K89" s="163" t="s">
        <v>256</v>
      </c>
      <c r="L89" s="163"/>
      <c r="M89" s="149">
        <v>1</v>
      </c>
      <c r="N89" s="149">
        <v>180</v>
      </c>
      <c r="O89" s="149">
        <f>N89*M89</f>
        <v>180</v>
      </c>
    </row>
    <row r="90" spans="2:15" s="4" customFormat="1">
      <c r="B90" s="5"/>
      <c r="C90" s="8"/>
      <c r="D90" s="207" t="s">
        <v>107</v>
      </c>
      <c r="E90" s="207"/>
      <c r="F90" s="126">
        <f>F89*0.015</f>
        <v>181.82861836499998</v>
      </c>
      <c r="G90" s="88" t="s">
        <v>108</v>
      </c>
      <c r="I90" s="11"/>
      <c r="J90" s="195"/>
      <c r="K90" s="163"/>
      <c r="L90" s="163"/>
      <c r="M90" s="149"/>
      <c r="N90" s="149"/>
      <c r="O90" s="149"/>
    </row>
    <row r="91" spans="2:15" s="4" customFormat="1">
      <c r="B91" s="5"/>
      <c r="C91" s="8"/>
      <c r="I91" s="11"/>
      <c r="J91" s="196"/>
      <c r="K91" s="163"/>
      <c r="L91" s="163"/>
      <c r="M91" s="149"/>
      <c r="N91" s="149"/>
      <c r="O91" s="149"/>
    </row>
    <row r="93" spans="2:15">
      <c r="C93" s="184" t="s">
        <v>154</v>
      </c>
      <c r="D93" s="184"/>
      <c r="E93" s="184"/>
      <c r="F93" s="184"/>
      <c r="G93" s="184"/>
      <c r="H93" s="184"/>
      <c r="I93" s="184"/>
      <c r="J93" s="184"/>
      <c r="K93" s="184"/>
      <c r="L93" s="184"/>
      <c r="M93" s="184"/>
      <c r="N93" s="184"/>
    </row>
    <row r="94" spans="2:15">
      <c r="C94" s="185" t="s">
        <v>0</v>
      </c>
      <c r="D94" s="186" t="s">
        <v>1</v>
      </c>
      <c r="E94" s="186"/>
      <c r="F94" s="187" t="s">
        <v>2</v>
      </c>
      <c r="G94" s="187" t="s">
        <v>3</v>
      </c>
      <c r="H94" s="187"/>
      <c r="I94" s="188" t="s">
        <v>4</v>
      </c>
      <c r="J94" s="188"/>
      <c r="K94" s="189" t="s">
        <v>5</v>
      </c>
      <c r="L94" s="191" t="s">
        <v>123</v>
      </c>
      <c r="M94" s="191"/>
      <c r="N94" s="192" t="s">
        <v>14</v>
      </c>
    </row>
    <row r="95" spans="2:15">
      <c r="C95" s="185"/>
      <c r="D95" s="186"/>
      <c r="E95" s="186"/>
      <c r="F95" s="187"/>
      <c r="G95" s="187"/>
      <c r="H95" s="187"/>
      <c r="I95" s="188"/>
      <c r="J95" s="188"/>
      <c r="K95" s="190"/>
      <c r="L95" s="21" t="s">
        <v>6</v>
      </c>
      <c r="M95" s="22" t="s">
        <v>7</v>
      </c>
      <c r="N95" s="192"/>
    </row>
    <row r="96" spans="2:15">
      <c r="B96" s="164" t="s">
        <v>142</v>
      </c>
      <c r="C96" s="51" t="s">
        <v>10</v>
      </c>
      <c r="D96" s="25" t="s">
        <v>17</v>
      </c>
      <c r="E96" s="12">
        <v>120</v>
      </c>
      <c r="F96" s="52">
        <v>10.37</v>
      </c>
      <c r="G96" s="182">
        <v>2838</v>
      </c>
      <c r="H96" s="183"/>
      <c r="I96" s="173">
        <v>4</v>
      </c>
      <c r="J96" s="174"/>
      <c r="K96" s="29" t="s">
        <v>84</v>
      </c>
      <c r="L96" s="14">
        <f t="shared" ref="L96:L111" si="23">IF(I96&lt;&gt;"",(F96*G96*0.001),"")</f>
        <v>29.430059999999997</v>
      </c>
      <c r="M96" s="80">
        <f t="shared" ref="M96:M111" si="24">IF(I96&lt;&gt;"",I96*L96,"")</f>
        <v>117.72023999999999</v>
      </c>
      <c r="N96" s="193" t="s">
        <v>144</v>
      </c>
    </row>
    <row r="97" spans="2:14">
      <c r="B97" s="164"/>
      <c r="C97" s="51" t="s">
        <v>11</v>
      </c>
      <c r="D97" s="25" t="s">
        <v>17</v>
      </c>
      <c r="E97" s="12">
        <v>120</v>
      </c>
      <c r="F97" s="52">
        <v>10.37</v>
      </c>
      <c r="G97" s="157">
        <v>703</v>
      </c>
      <c r="H97" s="175"/>
      <c r="I97" s="159">
        <v>2</v>
      </c>
      <c r="J97" s="160"/>
      <c r="K97" s="29" t="s">
        <v>84</v>
      </c>
      <c r="L97" s="14">
        <f t="shared" ref="L97" si="25">IF(I97&lt;&gt;"",(F97*G97*0.001),"")</f>
        <v>7.2901099999999994</v>
      </c>
      <c r="M97" s="81">
        <f t="shared" ref="M97" si="26">IF(I97&lt;&gt;"",I97*L97,"")</f>
        <v>14.580219999999999</v>
      </c>
      <c r="N97" s="167"/>
    </row>
    <row r="98" spans="2:14">
      <c r="B98" s="164"/>
      <c r="C98" s="51" t="s">
        <v>60</v>
      </c>
      <c r="D98" s="25" t="s">
        <v>63</v>
      </c>
      <c r="E98" s="42" t="s">
        <v>145</v>
      </c>
      <c r="F98" s="52">
        <f>7850*0.084*0.006</f>
        <v>3.9564000000000008</v>
      </c>
      <c r="G98" s="157">
        <v>120</v>
      </c>
      <c r="H98" s="175"/>
      <c r="I98" s="159">
        <v>12</v>
      </c>
      <c r="J98" s="160"/>
      <c r="K98" s="29" t="s">
        <v>84</v>
      </c>
      <c r="L98" s="14">
        <f t="shared" si="23"/>
        <v>0.47476800000000008</v>
      </c>
      <c r="M98" s="81">
        <f t="shared" si="24"/>
        <v>5.6972160000000009</v>
      </c>
      <c r="N98" s="167"/>
    </row>
    <row r="99" spans="2:14">
      <c r="B99" s="172"/>
      <c r="C99" s="51" t="s">
        <v>61</v>
      </c>
      <c r="D99" s="25" t="s">
        <v>63</v>
      </c>
      <c r="E99" s="42" t="s">
        <v>146</v>
      </c>
      <c r="F99" s="52">
        <f>7850*0.029*0.006</f>
        <v>1.3659000000000001</v>
      </c>
      <c r="G99" s="176">
        <v>105</v>
      </c>
      <c r="H99" s="177"/>
      <c r="I99" s="180">
        <v>4</v>
      </c>
      <c r="J99" s="181"/>
      <c r="K99" s="29" t="s">
        <v>84</v>
      </c>
      <c r="L99" s="14">
        <f t="shared" si="23"/>
        <v>0.14341950000000001</v>
      </c>
      <c r="M99" s="81">
        <f t="shared" si="24"/>
        <v>0.57367800000000002</v>
      </c>
      <c r="N99" s="167"/>
    </row>
    <row r="100" spans="2:14">
      <c r="B100" s="164" t="s">
        <v>143</v>
      </c>
      <c r="C100" s="78" t="s">
        <v>26</v>
      </c>
      <c r="D100" s="54" t="s">
        <v>17</v>
      </c>
      <c r="E100" s="69">
        <v>120</v>
      </c>
      <c r="F100" s="56">
        <v>10.37</v>
      </c>
      <c r="G100" s="165">
        <v>2355</v>
      </c>
      <c r="H100" s="165"/>
      <c r="I100" s="153">
        <v>2</v>
      </c>
      <c r="J100" s="154"/>
      <c r="K100" s="28" t="s">
        <v>84</v>
      </c>
      <c r="L100" s="57">
        <f t="shared" si="23"/>
        <v>24.42135</v>
      </c>
      <c r="M100" s="82">
        <f t="shared" si="24"/>
        <v>48.842700000000001</v>
      </c>
      <c r="N100" s="166" t="s">
        <v>144</v>
      </c>
    </row>
    <row r="101" spans="2:14">
      <c r="B101" s="164"/>
      <c r="C101" s="51" t="s">
        <v>11</v>
      </c>
      <c r="D101" s="25" t="s">
        <v>17</v>
      </c>
      <c r="E101" s="12">
        <v>120</v>
      </c>
      <c r="F101" s="52">
        <v>10.37</v>
      </c>
      <c r="G101" s="158">
        <v>703</v>
      </c>
      <c r="H101" s="158"/>
      <c r="I101" s="159">
        <v>1</v>
      </c>
      <c r="J101" s="160"/>
      <c r="K101" s="29" t="s">
        <v>84</v>
      </c>
      <c r="L101" s="14">
        <f t="shared" si="23"/>
        <v>7.2901099999999994</v>
      </c>
      <c r="M101" s="81">
        <f t="shared" si="24"/>
        <v>7.2901099999999994</v>
      </c>
      <c r="N101" s="167"/>
    </row>
    <row r="102" spans="2:14">
      <c r="B102" s="164"/>
      <c r="C102" s="51" t="s">
        <v>60</v>
      </c>
      <c r="D102" s="25" t="s">
        <v>63</v>
      </c>
      <c r="E102" s="42" t="s">
        <v>145</v>
      </c>
      <c r="F102" s="52">
        <f>7850*0.084*0.006</f>
        <v>3.9564000000000008</v>
      </c>
      <c r="G102" s="157">
        <v>120</v>
      </c>
      <c r="H102" s="175"/>
      <c r="I102" s="159">
        <v>6</v>
      </c>
      <c r="J102" s="160"/>
      <c r="K102" s="29" t="s">
        <v>84</v>
      </c>
      <c r="L102" s="14">
        <f t="shared" si="23"/>
        <v>0.47476800000000008</v>
      </c>
      <c r="M102" s="81">
        <f t="shared" si="24"/>
        <v>2.8486080000000005</v>
      </c>
      <c r="N102" s="167"/>
    </row>
    <row r="103" spans="2:14">
      <c r="B103" s="164"/>
      <c r="C103" s="51" t="s">
        <v>61</v>
      </c>
      <c r="D103" s="25" t="s">
        <v>63</v>
      </c>
      <c r="E103" s="42" t="s">
        <v>146</v>
      </c>
      <c r="F103" s="52">
        <f>7850*0.029*0.006</f>
        <v>1.3659000000000001</v>
      </c>
      <c r="G103" s="176">
        <v>105</v>
      </c>
      <c r="H103" s="177"/>
      <c r="I103" s="159">
        <v>2</v>
      </c>
      <c r="J103" s="160"/>
      <c r="K103" s="30" t="s">
        <v>84</v>
      </c>
      <c r="L103" s="23">
        <f t="shared" si="23"/>
        <v>0.14341950000000001</v>
      </c>
      <c r="M103" s="83">
        <f t="shared" si="24"/>
        <v>0.28683900000000001</v>
      </c>
      <c r="N103" s="168"/>
    </row>
    <row r="104" spans="2:14">
      <c r="B104" s="164" t="s">
        <v>147</v>
      </c>
      <c r="C104" s="78" t="s">
        <v>12</v>
      </c>
      <c r="D104" s="54" t="s">
        <v>17</v>
      </c>
      <c r="E104" s="69">
        <v>120</v>
      </c>
      <c r="F104" s="56">
        <v>10.37</v>
      </c>
      <c r="G104" s="165">
        <v>1410</v>
      </c>
      <c r="H104" s="165"/>
      <c r="I104" s="153">
        <v>2</v>
      </c>
      <c r="J104" s="154"/>
      <c r="K104" s="28" t="s">
        <v>84</v>
      </c>
      <c r="L104" s="57">
        <f t="shared" si="23"/>
        <v>14.621699999999999</v>
      </c>
      <c r="M104" s="82">
        <f t="shared" si="24"/>
        <v>29.243399999999998</v>
      </c>
      <c r="N104" s="166" t="s">
        <v>144</v>
      </c>
    </row>
    <row r="105" spans="2:14">
      <c r="B105" s="164"/>
      <c r="C105" s="51" t="s">
        <v>11</v>
      </c>
      <c r="D105" s="25" t="s">
        <v>17</v>
      </c>
      <c r="E105" s="12">
        <v>120</v>
      </c>
      <c r="F105" s="52">
        <v>10.37</v>
      </c>
      <c r="G105" s="158">
        <v>703</v>
      </c>
      <c r="H105" s="158"/>
      <c r="I105" s="159">
        <v>1</v>
      </c>
      <c r="J105" s="160"/>
      <c r="K105" s="29" t="s">
        <v>84</v>
      </c>
      <c r="L105" s="14">
        <f t="shared" si="23"/>
        <v>7.2901099999999994</v>
      </c>
      <c r="M105" s="81">
        <f t="shared" si="24"/>
        <v>7.2901099999999994</v>
      </c>
      <c r="N105" s="167"/>
    </row>
    <row r="106" spans="2:14">
      <c r="B106" s="164"/>
      <c r="C106" s="51" t="s">
        <v>60</v>
      </c>
      <c r="D106" s="25" t="s">
        <v>63</v>
      </c>
      <c r="E106" s="42" t="s">
        <v>145</v>
      </c>
      <c r="F106" s="52">
        <f>7850*0.084*0.006</f>
        <v>3.9564000000000008</v>
      </c>
      <c r="G106" s="157">
        <v>120</v>
      </c>
      <c r="H106" s="175"/>
      <c r="I106" s="159">
        <v>6</v>
      </c>
      <c r="J106" s="160"/>
      <c r="K106" s="29" t="s">
        <v>84</v>
      </c>
      <c r="L106" s="14">
        <f t="shared" si="23"/>
        <v>0.47476800000000008</v>
      </c>
      <c r="M106" s="81">
        <f t="shared" si="24"/>
        <v>2.8486080000000005</v>
      </c>
      <c r="N106" s="167"/>
    </row>
    <row r="107" spans="2:14">
      <c r="B107" s="164"/>
      <c r="C107" s="51" t="s">
        <v>61</v>
      </c>
      <c r="D107" s="25" t="s">
        <v>63</v>
      </c>
      <c r="E107" s="42" t="s">
        <v>146</v>
      </c>
      <c r="F107" s="52">
        <f>7850*0.029*0.006</f>
        <v>1.3659000000000001</v>
      </c>
      <c r="G107" s="176">
        <v>105</v>
      </c>
      <c r="H107" s="177"/>
      <c r="I107" s="159">
        <v>2</v>
      </c>
      <c r="J107" s="160"/>
      <c r="K107" s="30" t="s">
        <v>84</v>
      </c>
      <c r="L107" s="23">
        <f t="shared" si="23"/>
        <v>0.14341950000000001</v>
      </c>
      <c r="M107" s="83">
        <f t="shared" si="24"/>
        <v>0.28683900000000001</v>
      </c>
      <c r="N107" s="168"/>
    </row>
    <row r="108" spans="2:14">
      <c r="B108" s="164" t="s">
        <v>148</v>
      </c>
      <c r="C108" s="78" t="s">
        <v>10</v>
      </c>
      <c r="D108" s="54" t="s">
        <v>17</v>
      </c>
      <c r="E108" s="69">
        <v>120</v>
      </c>
      <c r="F108" s="56">
        <v>10.37</v>
      </c>
      <c r="G108" s="158">
        <v>2838</v>
      </c>
      <c r="H108" s="158"/>
      <c r="I108" s="173">
        <v>2</v>
      </c>
      <c r="J108" s="174"/>
      <c r="K108" s="29" t="s">
        <v>84</v>
      </c>
      <c r="L108" s="14">
        <f t="shared" si="23"/>
        <v>29.430059999999997</v>
      </c>
      <c r="M108" s="80">
        <f t="shared" si="24"/>
        <v>58.860119999999995</v>
      </c>
      <c r="N108" s="166" t="s">
        <v>144</v>
      </c>
    </row>
    <row r="109" spans="2:14">
      <c r="B109" s="164"/>
      <c r="C109" s="51" t="s">
        <v>11</v>
      </c>
      <c r="D109" s="25" t="s">
        <v>17</v>
      </c>
      <c r="E109" s="12">
        <v>120</v>
      </c>
      <c r="F109" s="52">
        <v>10.37</v>
      </c>
      <c r="G109" s="158">
        <v>703</v>
      </c>
      <c r="H109" s="158"/>
      <c r="I109" s="159">
        <v>2</v>
      </c>
      <c r="J109" s="160"/>
      <c r="K109" s="29" t="s">
        <v>84</v>
      </c>
      <c r="L109" s="14">
        <f t="shared" si="23"/>
        <v>7.2901099999999994</v>
      </c>
      <c r="M109" s="81">
        <f t="shared" si="24"/>
        <v>14.580219999999999</v>
      </c>
      <c r="N109" s="167"/>
    </row>
    <row r="110" spans="2:14">
      <c r="B110" s="164"/>
      <c r="C110" s="51" t="s">
        <v>60</v>
      </c>
      <c r="D110" s="25" t="s">
        <v>63</v>
      </c>
      <c r="E110" s="42" t="s">
        <v>145</v>
      </c>
      <c r="F110" s="52">
        <f>7850*0.084*0.006</f>
        <v>3.9564000000000008</v>
      </c>
      <c r="G110" s="158">
        <v>120</v>
      </c>
      <c r="H110" s="158"/>
      <c r="I110" s="159">
        <v>8</v>
      </c>
      <c r="J110" s="160"/>
      <c r="K110" s="29" t="s">
        <v>84</v>
      </c>
      <c r="L110" s="14">
        <f t="shared" si="23"/>
        <v>0.47476800000000008</v>
      </c>
      <c r="M110" s="81">
        <f t="shared" si="24"/>
        <v>3.7981440000000006</v>
      </c>
      <c r="N110" s="167"/>
    </row>
    <row r="111" spans="2:14">
      <c r="B111" s="172"/>
      <c r="C111" s="51" t="s">
        <v>61</v>
      </c>
      <c r="D111" s="25" t="s">
        <v>63</v>
      </c>
      <c r="E111" s="42" t="s">
        <v>146</v>
      </c>
      <c r="F111" s="52">
        <f>7850*0.029*0.006</f>
        <v>1.3659000000000001</v>
      </c>
      <c r="G111" s="158">
        <v>105</v>
      </c>
      <c r="H111" s="158"/>
      <c r="I111" s="159">
        <v>4</v>
      </c>
      <c r="J111" s="160"/>
      <c r="K111" s="29" t="s">
        <v>84</v>
      </c>
      <c r="L111" s="14">
        <f t="shared" si="23"/>
        <v>0.14341950000000001</v>
      </c>
      <c r="M111" s="81">
        <f t="shared" si="24"/>
        <v>0.57367800000000002</v>
      </c>
      <c r="N111" s="167"/>
    </row>
    <row r="112" spans="2:14">
      <c r="B112" s="164" t="s">
        <v>213</v>
      </c>
      <c r="C112" s="78" t="s">
        <v>50</v>
      </c>
      <c r="D112" s="54" t="s">
        <v>17</v>
      </c>
      <c r="E112" s="69">
        <v>120</v>
      </c>
      <c r="F112" s="56">
        <v>10.37</v>
      </c>
      <c r="G112" s="165">
        <v>2853</v>
      </c>
      <c r="H112" s="165"/>
      <c r="I112" s="153">
        <v>2</v>
      </c>
      <c r="J112" s="154"/>
      <c r="K112" s="28" t="s">
        <v>84</v>
      </c>
      <c r="L112" s="57">
        <f t="shared" ref="L112:L123" si="27">IF(I112&lt;&gt;"",(F112*G112*0.001),"")</f>
        <v>29.585609999999999</v>
      </c>
      <c r="M112" s="82">
        <f t="shared" ref="M112:M123" si="28">IF(I112&lt;&gt;"",I112*L112,"")</f>
        <v>59.171219999999998</v>
      </c>
      <c r="N112" s="166" t="s">
        <v>144</v>
      </c>
    </row>
    <row r="113" spans="2:15">
      <c r="B113" s="164"/>
      <c r="C113" s="51" t="s">
        <v>11</v>
      </c>
      <c r="D113" s="25" t="s">
        <v>17</v>
      </c>
      <c r="E113" s="12">
        <v>120</v>
      </c>
      <c r="F113" s="52">
        <v>10.37</v>
      </c>
      <c r="G113" s="158">
        <v>703</v>
      </c>
      <c r="H113" s="158"/>
      <c r="I113" s="159">
        <v>2</v>
      </c>
      <c r="J113" s="160"/>
      <c r="K113" s="29" t="s">
        <v>84</v>
      </c>
      <c r="L113" s="14">
        <f t="shared" si="27"/>
        <v>7.2901099999999994</v>
      </c>
      <c r="M113" s="81">
        <f t="shared" si="28"/>
        <v>14.580219999999999</v>
      </c>
      <c r="N113" s="167"/>
    </row>
    <row r="114" spans="2:15">
      <c r="B114" s="164"/>
      <c r="C114" s="51" t="s">
        <v>60</v>
      </c>
      <c r="D114" s="25" t="s">
        <v>63</v>
      </c>
      <c r="E114" s="42" t="s">
        <v>145</v>
      </c>
      <c r="F114" s="52">
        <f>7850*0.084*0.006</f>
        <v>3.9564000000000008</v>
      </c>
      <c r="G114" s="157">
        <v>120</v>
      </c>
      <c r="H114" s="175"/>
      <c r="I114" s="159">
        <v>8</v>
      </c>
      <c r="J114" s="160"/>
      <c r="K114" s="29" t="s">
        <v>84</v>
      </c>
      <c r="L114" s="14">
        <f t="shared" si="27"/>
        <v>0.47476800000000008</v>
      </c>
      <c r="M114" s="81">
        <f t="shared" si="28"/>
        <v>3.7981440000000006</v>
      </c>
      <c r="N114" s="167"/>
    </row>
    <row r="115" spans="2:15">
      <c r="B115" s="164"/>
      <c r="C115" s="51" t="s">
        <v>61</v>
      </c>
      <c r="D115" s="25" t="s">
        <v>63</v>
      </c>
      <c r="E115" s="42" t="s">
        <v>146</v>
      </c>
      <c r="F115" s="52">
        <f>7850*0.029*0.006</f>
        <v>1.3659000000000001</v>
      </c>
      <c r="G115" s="176">
        <v>105</v>
      </c>
      <c r="H115" s="177"/>
      <c r="I115" s="159">
        <v>4</v>
      </c>
      <c r="J115" s="160"/>
      <c r="K115" s="30" t="s">
        <v>84</v>
      </c>
      <c r="L115" s="23">
        <f t="shared" si="27"/>
        <v>0.14341950000000001</v>
      </c>
      <c r="M115" s="83">
        <f t="shared" si="28"/>
        <v>0.57367800000000002</v>
      </c>
      <c r="N115" s="168"/>
    </row>
    <row r="116" spans="2:15">
      <c r="B116" s="164" t="s">
        <v>214</v>
      </c>
      <c r="C116" s="78" t="s">
        <v>50</v>
      </c>
      <c r="D116" s="54" t="s">
        <v>17</v>
      </c>
      <c r="E116" s="69">
        <v>120</v>
      </c>
      <c r="F116" s="56">
        <v>10.37</v>
      </c>
      <c r="G116" s="158">
        <v>2853</v>
      </c>
      <c r="H116" s="158"/>
      <c r="I116" s="173">
        <v>2</v>
      </c>
      <c r="J116" s="174"/>
      <c r="K116" s="29" t="s">
        <v>84</v>
      </c>
      <c r="L116" s="14">
        <f t="shared" ref="L116:L119" si="29">IF(I116&lt;&gt;"",(F116*G116*0.001),"")</f>
        <v>29.585609999999999</v>
      </c>
      <c r="M116" s="80">
        <f t="shared" ref="M116:M119" si="30">IF(I116&lt;&gt;"",I116*L116,"")</f>
        <v>59.171219999999998</v>
      </c>
      <c r="N116" s="166" t="s">
        <v>144</v>
      </c>
    </row>
    <row r="117" spans="2:15">
      <c r="B117" s="164"/>
      <c r="C117" s="51" t="s">
        <v>11</v>
      </c>
      <c r="D117" s="25" t="s">
        <v>17</v>
      </c>
      <c r="E117" s="12">
        <v>120</v>
      </c>
      <c r="F117" s="52">
        <v>10.37</v>
      </c>
      <c r="G117" s="158">
        <v>703</v>
      </c>
      <c r="H117" s="158"/>
      <c r="I117" s="159">
        <v>2</v>
      </c>
      <c r="J117" s="160"/>
      <c r="K117" s="29" t="s">
        <v>84</v>
      </c>
      <c r="L117" s="14">
        <f t="shared" si="29"/>
        <v>7.2901099999999994</v>
      </c>
      <c r="M117" s="81">
        <f t="shared" si="30"/>
        <v>14.580219999999999</v>
      </c>
      <c r="N117" s="167"/>
    </row>
    <row r="118" spans="2:15">
      <c r="B118" s="164"/>
      <c r="C118" s="51" t="s">
        <v>60</v>
      </c>
      <c r="D118" s="25" t="s">
        <v>63</v>
      </c>
      <c r="E118" s="42" t="s">
        <v>145</v>
      </c>
      <c r="F118" s="52">
        <f>7850*0.084*0.006</f>
        <v>3.9564000000000008</v>
      </c>
      <c r="G118" s="158">
        <v>120</v>
      </c>
      <c r="H118" s="158"/>
      <c r="I118" s="159">
        <v>8</v>
      </c>
      <c r="J118" s="160"/>
      <c r="K118" s="29" t="s">
        <v>84</v>
      </c>
      <c r="L118" s="14">
        <f t="shared" si="29"/>
        <v>0.47476800000000008</v>
      </c>
      <c r="M118" s="81">
        <f t="shared" si="30"/>
        <v>3.7981440000000006</v>
      </c>
      <c r="N118" s="167"/>
    </row>
    <row r="119" spans="2:15">
      <c r="B119" s="164"/>
      <c r="C119" s="79" t="s">
        <v>61</v>
      </c>
      <c r="D119" s="27" t="s">
        <v>63</v>
      </c>
      <c r="E119" s="59" t="s">
        <v>146</v>
      </c>
      <c r="F119" s="60">
        <f>7850*0.029*0.006</f>
        <v>1.3659000000000001</v>
      </c>
      <c r="G119" s="162">
        <v>105</v>
      </c>
      <c r="H119" s="162"/>
      <c r="I119" s="180">
        <v>4</v>
      </c>
      <c r="J119" s="181"/>
      <c r="K119" s="30" t="s">
        <v>84</v>
      </c>
      <c r="L119" s="23">
        <f t="shared" si="29"/>
        <v>0.14341950000000001</v>
      </c>
      <c r="M119" s="83">
        <f t="shared" si="30"/>
        <v>0.57367800000000002</v>
      </c>
      <c r="N119" s="168"/>
    </row>
    <row r="120" spans="2:15">
      <c r="B120" s="164" t="s">
        <v>220</v>
      </c>
      <c r="C120" s="78" t="s">
        <v>10</v>
      </c>
      <c r="D120" s="54" t="s">
        <v>17</v>
      </c>
      <c r="E120" s="69">
        <v>120</v>
      </c>
      <c r="F120" s="56">
        <v>10.37</v>
      </c>
      <c r="G120" s="151">
        <v>2838</v>
      </c>
      <c r="H120" s="152"/>
      <c r="I120" s="153">
        <v>2</v>
      </c>
      <c r="J120" s="154"/>
      <c r="K120" s="28" t="s">
        <v>84</v>
      </c>
      <c r="L120" s="57">
        <f t="shared" si="27"/>
        <v>29.430059999999997</v>
      </c>
      <c r="M120" s="82">
        <f t="shared" si="28"/>
        <v>58.860119999999995</v>
      </c>
      <c r="N120" s="166" t="s">
        <v>144</v>
      </c>
    </row>
    <row r="121" spans="2:15">
      <c r="B121" s="164"/>
      <c r="C121" s="51" t="s">
        <v>11</v>
      </c>
      <c r="D121" s="25" t="s">
        <v>17</v>
      </c>
      <c r="E121" s="12">
        <v>120</v>
      </c>
      <c r="F121" s="52">
        <v>10.37</v>
      </c>
      <c r="G121" s="158">
        <v>703</v>
      </c>
      <c r="H121" s="158"/>
      <c r="I121" s="159">
        <v>2</v>
      </c>
      <c r="J121" s="160"/>
      <c r="K121" s="29" t="s">
        <v>84</v>
      </c>
      <c r="L121" s="14">
        <f t="shared" si="27"/>
        <v>7.2901099999999994</v>
      </c>
      <c r="M121" s="81">
        <f t="shared" si="28"/>
        <v>14.580219999999999</v>
      </c>
      <c r="N121" s="167"/>
    </row>
    <row r="122" spans="2:15">
      <c r="B122" s="164"/>
      <c r="C122" s="51" t="s">
        <v>60</v>
      </c>
      <c r="D122" s="25" t="s">
        <v>63</v>
      </c>
      <c r="E122" s="42" t="s">
        <v>145</v>
      </c>
      <c r="F122" s="52">
        <f>7850*0.084*0.006</f>
        <v>3.9564000000000008</v>
      </c>
      <c r="G122" s="158">
        <v>120</v>
      </c>
      <c r="H122" s="158"/>
      <c r="I122" s="159">
        <v>8</v>
      </c>
      <c r="J122" s="160"/>
      <c r="K122" s="29" t="s">
        <v>84</v>
      </c>
      <c r="L122" s="14">
        <f t="shared" si="27"/>
        <v>0.47476800000000008</v>
      </c>
      <c r="M122" s="81">
        <f t="shared" si="28"/>
        <v>3.7981440000000006</v>
      </c>
      <c r="N122" s="167"/>
    </row>
    <row r="123" spans="2:15">
      <c r="B123" s="164"/>
      <c r="C123" s="51" t="s">
        <v>61</v>
      </c>
      <c r="D123" s="25" t="s">
        <v>63</v>
      </c>
      <c r="E123" s="42" t="s">
        <v>146</v>
      </c>
      <c r="F123" s="52">
        <f>7850*0.029*0.006</f>
        <v>1.3659000000000001</v>
      </c>
      <c r="G123" s="158">
        <v>105</v>
      </c>
      <c r="H123" s="158"/>
      <c r="I123" s="159">
        <v>4</v>
      </c>
      <c r="J123" s="160"/>
      <c r="K123" s="29" t="s">
        <v>84</v>
      </c>
      <c r="L123" s="14">
        <f t="shared" si="27"/>
        <v>0.14341950000000001</v>
      </c>
      <c r="M123" s="81">
        <f t="shared" si="28"/>
        <v>0.57367800000000002</v>
      </c>
      <c r="N123" s="168"/>
    </row>
    <row r="124" spans="2:15">
      <c r="B124" s="104"/>
      <c r="C124" s="112"/>
      <c r="D124" s="178" t="s">
        <v>1</v>
      </c>
      <c r="E124" s="178"/>
      <c r="F124" s="179" t="s">
        <v>8</v>
      </c>
      <c r="G124" s="179"/>
      <c r="H124" s="101"/>
      <c r="I124" s="113"/>
      <c r="J124" s="113"/>
      <c r="K124" s="114"/>
      <c r="L124" s="39"/>
      <c r="M124" s="115"/>
      <c r="N124" s="116"/>
    </row>
    <row r="125" spans="2:15">
      <c r="B125" s="106"/>
      <c r="C125" s="107"/>
      <c r="D125" s="25" t="s">
        <v>17</v>
      </c>
      <c r="E125" s="42">
        <v>120</v>
      </c>
      <c r="F125" s="103">
        <f>IF(E125&lt;&gt;"",SUMIF(E96:E123,E125,M96:M123),"")</f>
        <v>519.35034000000007</v>
      </c>
      <c r="G125" s="7" t="str">
        <f>IF(F125&lt;&gt;"","kg","")</f>
        <v>kg</v>
      </c>
      <c r="H125" s="100"/>
      <c r="I125" s="110"/>
      <c r="J125" s="91" t="s">
        <v>112</v>
      </c>
      <c r="K125" s="149" t="s">
        <v>111</v>
      </c>
      <c r="L125" s="149"/>
      <c r="M125" s="74" t="s">
        <v>85</v>
      </c>
      <c r="N125" s="74" t="s">
        <v>114</v>
      </c>
      <c r="O125" s="74" t="s">
        <v>116</v>
      </c>
    </row>
    <row r="126" spans="2:15" ht="11.25" customHeight="1">
      <c r="B126" s="106"/>
      <c r="C126" s="107"/>
      <c r="D126" s="25" t="s">
        <v>63</v>
      </c>
      <c r="E126" s="85" t="s">
        <v>145</v>
      </c>
      <c r="F126" s="103">
        <f>IF(E126&lt;&gt;"",SUMIF(E96:E123,E126,M96:M123),"")</f>
        <v>26.587008000000004</v>
      </c>
      <c r="G126" s="7" t="str">
        <f>IF(F126&lt;&gt;"","kg","")</f>
        <v>kg</v>
      </c>
      <c r="H126" s="100"/>
      <c r="I126" s="110"/>
      <c r="J126" s="150" t="s">
        <v>119</v>
      </c>
      <c r="K126" s="163" t="s">
        <v>122</v>
      </c>
      <c r="L126" s="163"/>
      <c r="M126" s="149">
        <v>4</v>
      </c>
      <c r="N126" s="149">
        <v>4</v>
      </c>
      <c r="O126" s="149">
        <f>N126*M126</f>
        <v>16</v>
      </c>
    </row>
    <row r="127" spans="2:15">
      <c r="B127" s="106"/>
      <c r="C127" s="107"/>
      <c r="D127" s="25" t="s">
        <v>96</v>
      </c>
      <c r="E127" s="42" t="s">
        <v>146</v>
      </c>
      <c r="F127" s="103">
        <f>IF(E127&lt;&gt;"",SUMIF(E96:E123,E127,M96:M123),"")</f>
        <v>3.4420680000000003</v>
      </c>
      <c r="G127" s="7" t="str">
        <f>IF(F127&lt;&gt;"","kg","")</f>
        <v>kg</v>
      </c>
      <c r="H127" s="100"/>
      <c r="I127" s="110"/>
      <c r="J127" s="150"/>
      <c r="K127" s="163"/>
      <c r="L127" s="163"/>
      <c r="M127" s="149"/>
      <c r="N127" s="149"/>
      <c r="O127" s="149"/>
    </row>
    <row r="128" spans="2:15">
      <c r="B128" s="106"/>
      <c r="C128" s="107"/>
      <c r="D128" s="17"/>
      <c r="E128" s="18" t="s">
        <v>9</v>
      </c>
      <c r="F128" s="41">
        <f>SUM(F125:F127)</f>
        <v>549.37941599999999</v>
      </c>
      <c r="G128" s="19" t="s">
        <v>108</v>
      </c>
      <c r="H128" s="100"/>
      <c r="I128" s="110"/>
      <c r="J128" s="150"/>
      <c r="K128" s="163"/>
      <c r="L128" s="163"/>
      <c r="M128" s="149"/>
      <c r="N128" s="149"/>
      <c r="O128" s="149"/>
    </row>
    <row r="129" spans="1:244">
      <c r="B129" s="106"/>
      <c r="C129" s="107"/>
      <c r="D129" s="207" t="s">
        <v>107</v>
      </c>
      <c r="E129" s="207"/>
      <c r="F129" s="102">
        <f>F128*0.015</f>
        <v>8.2406912400000003</v>
      </c>
      <c r="G129" s="88" t="s">
        <v>108</v>
      </c>
      <c r="H129" s="100"/>
      <c r="I129" s="110"/>
      <c r="J129" s="118" t="s">
        <v>113</v>
      </c>
      <c r="K129" s="197" t="s">
        <v>156</v>
      </c>
      <c r="L129" s="198"/>
      <c r="M129" s="117">
        <v>4</v>
      </c>
      <c r="N129" s="117">
        <v>52</v>
      </c>
      <c r="O129" s="117">
        <f>N129*M129</f>
        <v>208</v>
      </c>
    </row>
    <row r="130" spans="1:244">
      <c r="B130" s="106"/>
      <c r="C130" s="107"/>
      <c r="D130" s="108"/>
      <c r="E130" s="85"/>
      <c r="F130" s="109"/>
      <c r="G130" s="100"/>
      <c r="H130" s="100"/>
      <c r="I130" s="110"/>
      <c r="J130" s="113"/>
      <c r="K130" s="114"/>
      <c r="L130" s="39"/>
      <c r="M130" s="115"/>
      <c r="N130" s="116"/>
      <c r="O130" s="38"/>
    </row>
    <row r="131" spans="1:244">
      <c r="C131" s="184" t="s">
        <v>152</v>
      </c>
      <c r="D131" s="184"/>
      <c r="E131" s="184"/>
      <c r="F131" s="184"/>
      <c r="G131" s="184"/>
      <c r="H131" s="184"/>
      <c r="I131" s="184"/>
      <c r="J131" s="184"/>
      <c r="K131" s="184"/>
      <c r="L131" s="184"/>
      <c r="M131" s="184"/>
      <c r="N131" s="184"/>
    </row>
    <row r="132" spans="1:244">
      <c r="C132" s="185" t="s">
        <v>0</v>
      </c>
      <c r="D132" s="186" t="s">
        <v>1</v>
      </c>
      <c r="E132" s="186"/>
      <c r="F132" s="187" t="s">
        <v>2</v>
      </c>
      <c r="G132" s="187" t="s">
        <v>3</v>
      </c>
      <c r="H132" s="187"/>
      <c r="I132" s="188" t="s">
        <v>4</v>
      </c>
      <c r="J132" s="188"/>
      <c r="K132" s="189" t="s">
        <v>5</v>
      </c>
      <c r="L132" s="191" t="s">
        <v>123</v>
      </c>
      <c r="M132" s="191"/>
      <c r="N132" s="192" t="s">
        <v>14</v>
      </c>
    </row>
    <row r="133" spans="1:244">
      <c r="B133" s="86"/>
      <c r="C133" s="185"/>
      <c r="D133" s="186"/>
      <c r="E133" s="186"/>
      <c r="F133" s="187"/>
      <c r="G133" s="187"/>
      <c r="H133" s="187"/>
      <c r="I133" s="188"/>
      <c r="J133" s="188"/>
      <c r="K133" s="190"/>
      <c r="L133" s="21" t="s">
        <v>6</v>
      </c>
      <c r="M133" s="22" t="s">
        <v>7</v>
      </c>
      <c r="N133" s="192"/>
    </row>
    <row r="134" spans="1:244">
      <c r="A134" s="4"/>
      <c r="B134" s="131"/>
      <c r="C134" s="51" t="s">
        <v>10</v>
      </c>
      <c r="D134" s="25" t="s">
        <v>96</v>
      </c>
      <c r="E134" s="42" t="s">
        <v>99</v>
      </c>
      <c r="F134" s="52">
        <v>16.600000000000001</v>
      </c>
      <c r="G134" s="158">
        <v>3658.5</v>
      </c>
      <c r="H134" s="158"/>
      <c r="I134" s="173">
        <v>12</v>
      </c>
      <c r="J134" s="174"/>
      <c r="K134" s="29" t="s">
        <v>84</v>
      </c>
      <c r="L134" s="14">
        <f t="shared" ref="L134:L142" si="31">IF(I134&lt;&gt;"",(F134*G134*0.001),"")</f>
        <v>60.731100000000005</v>
      </c>
      <c r="M134" s="80">
        <f t="shared" ref="M134:M142" si="32">IF(I134&lt;&gt;"",I134*L134,"")</f>
        <v>728.77320000000009</v>
      </c>
      <c r="N134" s="65" t="s">
        <v>88</v>
      </c>
    </row>
    <row r="135" spans="1:244">
      <c r="A135" s="4"/>
      <c r="B135" s="131"/>
      <c r="C135" s="51" t="s">
        <v>60</v>
      </c>
      <c r="D135" s="25" t="s">
        <v>63</v>
      </c>
      <c r="E135" s="85" t="s">
        <v>105</v>
      </c>
      <c r="F135" s="52">
        <f>0.24*0.02*7850</f>
        <v>37.68</v>
      </c>
      <c r="G135" s="158">
        <v>200</v>
      </c>
      <c r="H135" s="158"/>
      <c r="I135" s="159">
        <v>12</v>
      </c>
      <c r="J135" s="160"/>
      <c r="K135" s="29" t="s">
        <v>84</v>
      </c>
      <c r="L135" s="14">
        <f t="shared" si="31"/>
        <v>7.5360000000000005</v>
      </c>
      <c r="M135" s="81">
        <f t="shared" si="32"/>
        <v>90.432000000000002</v>
      </c>
      <c r="N135" s="127" t="s">
        <v>106</v>
      </c>
    </row>
    <row r="136" spans="1:244">
      <c r="A136" s="4"/>
      <c r="B136" s="131"/>
      <c r="C136" s="51" t="s">
        <v>62</v>
      </c>
      <c r="D136" s="25" t="s">
        <v>63</v>
      </c>
      <c r="E136" s="85" t="s">
        <v>237</v>
      </c>
      <c r="F136" s="52">
        <f>0.15*0.005*7850</f>
        <v>5.8875000000000002</v>
      </c>
      <c r="G136" s="158">
        <v>80</v>
      </c>
      <c r="H136" s="158"/>
      <c r="I136" s="180">
        <v>12</v>
      </c>
      <c r="J136" s="181"/>
      <c r="K136" s="29" t="s">
        <v>84</v>
      </c>
      <c r="L136" s="14">
        <f t="shared" ref="L136" si="33">IF(I136&lt;&gt;"",(F136*G136*0.001),"")</f>
        <v>0.47100000000000003</v>
      </c>
      <c r="M136" s="81">
        <f t="shared" ref="M136" si="34">IF(I136&lt;&gt;"",I136*L136,"")</f>
        <v>5.6520000000000001</v>
      </c>
      <c r="N136" s="63" t="s">
        <v>106</v>
      </c>
    </row>
    <row r="137" spans="1:244">
      <c r="A137" s="4"/>
      <c r="B137" s="131"/>
      <c r="C137" s="53" t="s">
        <v>11</v>
      </c>
      <c r="D137" s="54" t="s">
        <v>96</v>
      </c>
      <c r="E137" s="87" t="s">
        <v>99</v>
      </c>
      <c r="F137" s="56">
        <v>16.600000000000001</v>
      </c>
      <c r="G137" s="165">
        <v>2060</v>
      </c>
      <c r="H137" s="165"/>
      <c r="I137" s="153">
        <v>12</v>
      </c>
      <c r="J137" s="154"/>
      <c r="K137" s="28" t="s">
        <v>84</v>
      </c>
      <c r="L137" s="57">
        <f t="shared" si="31"/>
        <v>34.195999999999998</v>
      </c>
      <c r="M137" s="82">
        <f t="shared" si="32"/>
        <v>410.35199999999998</v>
      </c>
      <c r="N137" s="62" t="s">
        <v>35</v>
      </c>
    </row>
    <row r="138" spans="1:244">
      <c r="A138" s="4"/>
      <c r="B138" s="131"/>
      <c r="C138" s="51" t="s">
        <v>61</v>
      </c>
      <c r="D138" s="25" t="s">
        <v>63</v>
      </c>
      <c r="E138" s="85" t="s">
        <v>212</v>
      </c>
      <c r="F138" s="52">
        <f>0.216*0.01*7850</f>
        <v>16.956</v>
      </c>
      <c r="G138" s="158">
        <v>170</v>
      </c>
      <c r="H138" s="158"/>
      <c r="I138" s="180">
        <v>12</v>
      </c>
      <c r="J138" s="181"/>
      <c r="K138" s="29" t="s">
        <v>84</v>
      </c>
      <c r="L138" s="14">
        <f t="shared" si="31"/>
        <v>2.88252</v>
      </c>
      <c r="M138" s="81">
        <f t="shared" si="32"/>
        <v>34.590240000000001</v>
      </c>
      <c r="N138" s="123" t="s">
        <v>106</v>
      </c>
    </row>
    <row r="139" spans="1:244" ht="22.5">
      <c r="B139" s="66" t="s">
        <v>91</v>
      </c>
      <c r="C139" s="53" t="s">
        <v>95</v>
      </c>
      <c r="D139" s="54" t="s">
        <v>96</v>
      </c>
      <c r="E139" s="77" t="s">
        <v>97</v>
      </c>
      <c r="F139" s="56">
        <v>10.6</v>
      </c>
      <c r="G139" s="165">
        <v>2070</v>
      </c>
      <c r="H139" s="165"/>
      <c r="I139" s="153">
        <v>2</v>
      </c>
      <c r="J139" s="154"/>
      <c r="K139" s="28" t="s">
        <v>84</v>
      </c>
      <c r="L139" s="57">
        <f t="shared" si="31"/>
        <v>21.942</v>
      </c>
      <c r="M139" s="82">
        <f t="shared" si="32"/>
        <v>43.884</v>
      </c>
      <c r="N139" s="62" t="s">
        <v>98</v>
      </c>
    </row>
    <row r="140" spans="1:244" ht="22.5">
      <c r="B140" s="64" t="s">
        <v>92</v>
      </c>
      <c r="C140" s="53" t="s">
        <v>95</v>
      </c>
      <c r="D140" s="54" t="s">
        <v>96</v>
      </c>
      <c r="E140" s="77" t="s">
        <v>97</v>
      </c>
      <c r="F140" s="56">
        <v>10.6</v>
      </c>
      <c r="G140" s="165">
        <v>1160</v>
      </c>
      <c r="H140" s="165"/>
      <c r="I140" s="153">
        <v>8</v>
      </c>
      <c r="J140" s="154"/>
      <c r="K140" s="28" t="s">
        <v>84</v>
      </c>
      <c r="L140" s="57">
        <f t="shared" si="31"/>
        <v>12.295999999999999</v>
      </c>
      <c r="M140" s="82">
        <f t="shared" si="32"/>
        <v>98.367999999999995</v>
      </c>
      <c r="N140" s="62" t="s">
        <v>98</v>
      </c>
    </row>
    <row r="141" spans="1:244" ht="22.5">
      <c r="B141" s="66" t="s">
        <v>93</v>
      </c>
      <c r="C141" s="70" t="s">
        <v>95</v>
      </c>
      <c r="D141" s="71" t="s">
        <v>39</v>
      </c>
      <c r="E141" s="72" t="s">
        <v>40</v>
      </c>
      <c r="F141" s="73">
        <v>6.9</v>
      </c>
      <c r="G141" s="208">
        <v>2070</v>
      </c>
      <c r="H141" s="208"/>
      <c r="I141" s="209">
        <v>2</v>
      </c>
      <c r="J141" s="210"/>
      <c r="K141" s="74" t="s">
        <v>84</v>
      </c>
      <c r="L141" s="75">
        <f t="shared" si="31"/>
        <v>14.282999999999999</v>
      </c>
      <c r="M141" s="84">
        <f t="shared" si="32"/>
        <v>28.565999999999999</v>
      </c>
      <c r="N141" s="76" t="s">
        <v>98</v>
      </c>
    </row>
    <row r="142" spans="1:244" ht="22.5">
      <c r="B142" s="66" t="s">
        <v>94</v>
      </c>
      <c r="C142" s="70" t="s">
        <v>95</v>
      </c>
      <c r="D142" s="71" t="s">
        <v>39</v>
      </c>
      <c r="E142" s="72" t="s">
        <v>40</v>
      </c>
      <c r="F142" s="73">
        <v>6.9</v>
      </c>
      <c r="G142" s="208">
        <v>1160</v>
      </c>
      <c r="H142" s="208"/>
      <c r="I142" s="209">
        <v>16</v>
      </c>
      <c r="J142" s="210"/>
      <c r="K142" s="74" t="s">
        <v>84</v>
      </c>
      <c r="L142" s="75">
        <f t="shared" si="31"/>
        <v>8.0039999999999996</v>
      </c>
      <c r="M142" s="84">
        <f t="shared" si="32"/>
        <v>128.06399999999999</v>
      </c>
      <c r="N142" s="76" t="s">
        <v>98</v>
      </c>
    </row>
    <row r="143" spans="1:244">
      <c r="C143" s="34"/>
      <c r="D143" s="178" t="s">
        <v>1</v>
      </c>
      <c r="E143" s="178"/>
      <c r="F143" s="179" t="s">
        <v>8</v>
      </c>
      <c r="G143" s="179"/>
      <c r="H143" s="38"/>
      <c r="I143" s="39"/>
      <c r="J143" s="39" t="str">
        <f>IF(SUM(M134:M142)=F150,"","BŁĄD")</f>
        <v/>
      </c>
      <c r="K143" s="115"/>
      <c r="L143" s="4"/>
      <c r="M143" s="4"/>
      <c r="IH143" s="5"/>
      <c r="II143" s="5"/>
      <c r="IJ143" s="5"/>
    </row>
    <row r="144" spans="1:244">
      <c r="C144" s="6"/>
      <c r="D144" s="25" t="s">
        <v>96</v>
      </c>
      <c r="E144" s="42" t="s">
        <v>99</v>
      </c>
      <c r="F144" s="67">
        <f>IF(E144&lt;&gt;"",SUMIF(E134:E142,E144,M134:M142),"")</f>
        <v>1139.1251999999999</v>
      </c>
      <c r="G144" s="7" t="str">
        <f t="shared" ref="G144:G149" si="35">IF(F144&lt;&gt;"","kg","")</f>
        <v>kg</v>
      </c>
      <c r="I144" s="11"/>
      <c r="J144" s="91" t="s">
        <v>112</v>
      </c>
      <c r="K144" s="149" t="s">
        <v>111</v>
      </c>
      <c r="L144" s="149"/>
      <c r="M144" s="74" t="s">
        <v>85</v>
      </c>
      <c r="N144" s="74" t="s">
        <v>114</v>
      </c>
      <c r="O144" s="74" t="s">
        <v>116</v>
      </c>
      <c r="IH144" s="5"/>
      <c r="II144" s="5"/>
      <c r="IJ144" s="5"/>
    </row>
    <row r="145" spans="2:244" ht="11.25" customHeight="1">
      <c r="C145" s="6"/>
      <c r="D145" s="25" t="s">
        <v>63</v>
      </c>
      <c r="E145" s="85" t="s">
        <v>105</v>
      </c>
      <c r="F145" s="67">
        <f>IF(E145&lt;&gt;"",SUMIF(E134:E142,E145,M134:M142),"")</f>
        <v>90.432000000000002</v>
      </c>
      <c r="G145" s="7" t="str">
        <f t="shared" si="35"/>
        <v>kg</v>
      </c>
      <c r="I145" s="11"/>
      <c r="J145" s="194" t="s">
        <v>113</v>
      </c>
      <c r="K145" s="197" t="s">
        <v>211</v>
      </c>
      <c r="L145" s="198"/>
      <c r="M145" s="203">
        <v>6</v>
      </c>
      <c r="N145" s="203">
        <v>6</v>
      </c>
      <c r="O145" s="203">
        <f>M145*N145</f>
        <v>36</v>
      </c>
      <c r="IH145" s="5"/>
      <c r="II145" s="5"/>
      <c r="IJ145" s="5"/>
    </row>
    <row r="146" spans="2:244" ht="11.25" customHeight="1">
      <c r="C146" s="6"/>
      <c r="D146" s="25" t="s">
        <v>63</v>
      </c>
      <c r="E146" s="85" t="s">
        <v>237</v>
      </c>
      <c r="F146" s="128">
        <f>IF(E146&lt;&gt;"",SUMIF(E134:E142,E146,M134:M142),"")</f>
        <v>5.6520000000000001</v>
      </c>
      <c r="G146" s="7" t="str">
        <f t="shared" si="35"/>
        <v>kg</v>
      </c>
      <c r="I146" s="11"/>
      <c r="J146" s="195"/>
      <c r="K146" s="199"/>
      <c r="L146" s="200"/>
      <c r="M146" s="204"/>
      <c r="N146" s="204"/>
      <c r="O146" s="204"/>
      <c r="IH146" s="5"/>
      <c r="II146" s="5"/>
      <c r="IJ146" s="5"/>
    </row>
    <row r="147" spans="2:244" ht="11.25" customHeight="1">
      <c r="C147" s="6"/>
      <c r="D147" s="25" t="s">
        <v>63</v>
      </c>
      <c r="E147" s="85" t="s">
        <v>212</v>
      </c>
      <c r="F147" s="128">
        <f>IF(E147&lt;&gt;"",SUMIF(E136:E144,E147,M136:M144),"")</f>
        <v>34.590240000000001</v>
      </c>
      <c r="G147" s="7" t="str">
        <f t="shared" si="35"/>
        <v>kg</v>
      </c>
      <c r="I147" s="11"/>
      <c r="J147" s="195"/>
      <c r="K147" s="199"/>
      <c r="L147" s="200"/>
      <c r="M147" s="204"/>
      <c r="N147" s="204"/>
      <c r="O147" s="204"/>
      <c r="IH147" s="5"/>
      <c r="II147" s="5"/>
      <c r="IJ147" s="5"/>
    </row>
    <row r="148" spans="2:244">
      <c r="C148" s="6"/>
      <c r="D148" s="25" t="s">
        <v>96</v>
      </c>
      <c r="E148" s="42" t="s">
        <v>97</v>
      </c>
      <c r="F148" s="67">
        <f>IF(E148&lt;&gt;"",SUMIF(E134:E142,E148,M134:M142),"")</f>
        <v>142.25200000000001</v>
      </c>
      <c r="G148" s="7" t="str">
        <f t="shared" si="35"/>
        <v>kg</v>
      </c>
      <c r="I148" s="11"/>
      <c r="J148" s="195"/>
      <c r="K148" s="201"/>
      <c r="L148" s="202"/>
      <c r="M148" s="204"/>
      <c r="N148" s="204"/>
      <c r="O148" s="204"/>
      <c r="IH148" s="5"/>
      <c r="II148" s="5"/>
      <c r="IJ148" s="5"/>
    </row>
    <row r="149" spans="2:244" ht="11.25" customHeight="1">
      <c r="C149" s="6"/>
      <c r="D149" s="27" t="s">
        <v>39</v>
      </c>
      <c r="E149" s="59" t="s">
        <v>40</v>
      </c>
      <c r="F149" s="67">
        <f>IF(E149&lt;&gt;"",SUMIF(E134:E142,E149,M134:M142),"")</f>
        <v>156.63</v>
      </c>
      <c r="G149" s="7" t="str">
        <f t="shared" si="35"/>
        <v>kg</v>
      </c>
      <c r="I149" s="11"/>
      <c r="J149" s="194" t="s">
        <v>119</v>
      </c>
      <c r="K149" s="197" t="s">
        <v>210</v>
      </c>
      <c r="L149" s="198"/>
      <c r="M149" s="203">
        <v>2</v>
      </c>
      <c r="N149" s="203">
        <v>12</v>
      </c>
      <c r="O149" s="203">
        <f>M149*N149</f>
        <v>24</v>
      </c>
      <c r="IH149" s="5"/>
      <c r="II149" s="5"/>
      <c r="IJ149" s="5"/>
    </row>
    <row r="150" spans="2:244" ht="11.25" customHeight="1">
      <c r="C150" s="6"/>
      <c r="D150" s="17"/>
      <c r="E150" s="18" t="s">
        <v>9</v>
      </c>
      <c r="F150" s="41">
        <f>SUM(F144:F149)</f>
        <v>1568.6814399999998</v>
      </c>
      <c r="G150" s="19" t="s">
        <v>108</v>
      </c>
      <c r="I150" s="11"/>
      <c r="J150" s="195"/>
      <c r="K150" s="199"/>
      <c r="L150" s="200"/>
      <c r="M150" s="204"/>
      <c r="N150" s="204"/>
      <c r="O150" s="204"/>
      <c r="IH150" s="5"/>
      <c r="II150" s="5"/>
      <c r="IJ150" s="5"/>
    </row>
    <row r="151" spans="2:244">
      <c r="D151" s="207" t="s">
        <v>107</v>
      </c>
      <c r="E151" s="207"/>
      <c r="F151" s="61">
        <f>F150*0.015</f>
        <v>23.530221599999997</v>
      </c>
      <c r="G151" s="88" t="s">
        <v>108</v>
      </c>
      <c r="I151" s="11"/>
      <c r="J151" s="196"/>
      <c r="K151" s="201"/>
      <c r="L151" s="202"/>
      <c r="M151" s="205"/>
      <c r="N151" s="205"/>
      <c r="O151" s="205"/>
      <c r="IH151" s="5"/>
      <c r="II151" s="5"/>
      <c r="IJ151" s="5"/>
    </row>
    <row r="152" spans="2:244">
      <c r="L152" s="4"/>
      <c r="M152" s="4"/>
    </row>
    <row r="153" spans="2:244">
      <c r="C153" s="184" t="s">
        <v>155</v>
      </c>
      <c r="D153" s="184"/>
      <c r="E153" s="184"/>
      <c r="F153" s="184"/>
      <c r="G153" s="184"/>
      <c r="H153" s="184"/>
      <c r="I153" s="184"/>
      <c r="J153" s="184"/>
      <c r="K153" s="184"/>
      <c r="L153" s="184"/>
      <c r="M153" s="184"/>
      <c r="N153" s="184"/>
    </row>
    <row r="154" spans="2:244">
      <c r="C154" s="185" t="s">
        <v>0</v>
      </c>
      <c r="D154" s="186" t="s">
        <v>1</v>
      </c>
      <c r="E154" s="186"/>
      <c r="F154" s="187" t="s">
        <v>2</v>
      </c>
      <c r="G154" s="187" t="s">
        <v>3</v>
      </c>
      <c r="H154" s="187"/>
      <c r="I154" s="188" t="s">
        <v>4</v>
      </c>
      <c r="J154" s="188"/>
      <c r="K154" s="189" t="s">
        <v>5</v>
      </c>
      <c r="L154" s="191" t="s">
        <v>123</v>
      </c>
      <c r="M154" s="191"/>
      <c r="N154" s="192" t="s">
        <v>14</v>
      </c>
    </row>
    <row r="155" spans="2:244">
      <c r="C155" s="185"/>
      <c r="D155" s="186"/>
      <c r="E155" s="186"/>
      <c r="F155" s="187"/>
      <c r="G155" s="187"/>
      <c r="H155" s="187"/>
      <c r="I155" s="188"/>
      <c r="J155" s="188"/>
      <c r="K155" s="190"/>
      <c r="L155" s="21" t="s">
        <v>6</v>
      </c>
      <c r="M155" s="22" t="s">
        <v>7</v>
      </c>
      <c r="N155" s="192"/>
    </row>
    <row r="156" spans="2:244">
      <c r="B156" s="172" t="s">
        <v>202</v>
      </c>
      <c r="C156" s="51" t="s">
        <v>10</v>
      </c>
      <c r="D156" s="25" t="s">
        <v>89</v>
      </c>
      <c r="E156" s="12">
        <v>200</v>
      </c>
      <c r="F156" s="56">
        <v>42.26</v>
      </c>
      <c r="G156" s="182">
        <v>5337</v>
      </c>
      <c r="H156" s="183"/>
      <c r="I156" s="173">
        <v>2</v>
      </c>
      <c r="J156" s="174"/>
      <c r="K156" s="29" t="s">
        <v>200</v>
      </c>
      <c r="L156" s="14">
        <f>IF(I156&lt;&gt;"",(F156*G156*0.001),"")</f>
        <v>225.54161999999999</v>
      </c>
      <c r="M156" s="80">
        <f t="shared" ref="M156:M174" si="36">IF(I156&lt;&gt;"",I156*L156,"")</f>
        <v>451.08323999999999</v>
      </c>
      <c r="N156" s="193" t="s">
        <v>88</v>
      </c>
    </row>
    <row r="157" spans="2:244">
      <c r="B157" s="206"/>
      <c r="C157" s="51" t="s">
        <v>60</v>
      </c>
      <c r="D157" s="25" t="s">
        <v>63</v>
      </c>
      <c r="E157" s="42" t="s">
        <v>101</v>
      </c>
      <c r="F157" s="52">
        <f>7850*0.2*0.012</f>
        <v>18.84</v>
      </c>
      <c r="G157" s="157">
        <v>191</v>
      </c>
      <c r="H157" s="175"/>
      <c r="I157" s="159">
        <v>2</v>
      </c>
      <c r="J157" s="160"/>
      <c r="K157" s="29" t="s">
        <v>200</v>
      </c>
      <c r="L157" s="14">
        <f t="shared" ref="L157:L174" si="37">IF(I157&lt;&gt;"",(F157*G157*0.001),"")</f>
        <v>3.5984400000000001</v>
      </c>
      <c r="M157" s="81">
        <f t="shared" si="36"/>
        <v>7.1968800000000002</v>
      </c>
      <c r="N157" s="167"/>
    </row>
    <row r="158" spans="2:244">
      <c r="B158" s="206"/>
      <c r="C158" s="51" t="s">
        <v>61</v>
      </c>
      <c r="D158" s="25" t="s">
        <v>63</v>
      </c>
      <c r="E158" s="42" t="s">
        <v>103</v>
      </c>
      <c r="F158" s="52">
        <f>7850*0.095*0.012</f>
        <v>8.9489999999999998</v>
      </c>
      <c r="G158" s="157">
        <v>166</v>
      </c>
      <c r="H158" s="175"/>
      <c r="I158" s="159">
        <v>4</v>
      </c>
      <c r="J158" s="160"/>
      <c r="K158" s="29" t="s">
        <v>200</v>
      </c>
      <c r="L158" s="14">
        <f t="shared" ref="L158" si="38">IF(I158&lt;&gt;"",(F158*G158*0.001),"")</f>
        <v>1.4855339999999999</v>
      </c>
      <c r="M158" s="81">
        <f t="shared" ref="M158" si="39">IF(I158&lt;&gt;"",I158*L158,"")</f>
        <v>5.9421359999999996</v>
      </c>
      <c r="N158" s="167"/>
    </row>
    <row r="159" spans="2:244">
      <c r="B159" s="206"/>
      <c r="C159" s="51" t="s">
        <v>62</v>
      </c>
      <c r="D159" s="25" t="s">
        <v>63</v>
      </c>
      <c r="E159" s="42" t="s">
        <v>104</v>
      </c>
      <c r="F159" s="52">
        <f>7850*0.2*0.015</f>
        <v>23.55</v>
      </c>
      <c r="G159" s="157">
        <v>191</v>
      </c>
      <c r="H159" s="175"/>
      <c r="I159" s="159">
        <f>I157</f>
        <v>2</v>
      </c>
      <c r="J159" s="160"/>
      <c r="K159" s="29" t="s">
        <v>200</v>
      </c>
      <c r="L159" s="14">
        <f t="shared" si="37"/>
        <v>4.4980500000000001</v>
      </c>
      <c r="M159" s="81">
        <f t="shared" si="36"/>
        <v>8.9961000000000002</v>
      </c>
      <c r="N159" s="167"/>
    </row>
    <row r="160" spans="2:244">
      <c r="B160" s="172" t="s">
        <v>71</v>
      </c>
      <c r="C160" s="53" t="s">
        <v>50</v>
      </c>
      <c r="D160" s="54" t="s">
        <v>17</v>
      </c>
      <c r="E160" s="55">
        <v>330</v>
      </c>
      <c r="F160" s="56">
        <v>49.1</v>
      </c>
      <c r="G160" s="151">
        <v>8255</v>
      </c>
      <c r="H160" s="152"/>
      <c r="I160" s="153">
        <v>2</v>
      </c>
      <c r="J160" s="154"/>
      <c r="K160" s="28" t="s">
        <v>200</v>
      </c>
      <c r="L160" s="57">
        <f t="shared" si="37"/>
        <v>405.32049999999998</v>
      </c>
      <c r="M160" s="82">
        <f t="shared" si="36"/>
        <v>810.64099999999996</v>
      </c>
      <c r="N160" s="166" t="s">
        <v>87</v>
      </c>
    </row>
    <row r="161" spans="2:244">
      <c r="B161" s="206"/>
      <c r="C161" s="51" t="s">
        <v>90</v>
      </c>
      <c r="D161" s="25" t="s">
        <v>63</v>
      </c>
      <c r="E161" s="42" t="s">
        <v>206</v>
      </c>
      <c r="F161" s="52">
        <f>7850*0.16*0.016</f>
        <v>20.096</v>
      </c>
      <c r="G161" s="157">
        <v>333</v>
      </c>
      <c r="H161" s="175"/>
      <c r="I161" s="159">
        <v>2</v>
      </c>
      <c r="J161" s="160"/>
      <c r="K161" s="29" t="s">
        <v>200</v>
      </c>
      <c r="L161" s="14">
        <f t="shared" si="37"/>
        <v>6.6919680000000001</v>
      </c>
      <c r="M161" s="81">
        <f t="shared" si="36"/>
        <v>13.383936</v>
      </c>
      <c r="N161" s="167"/>
    </row>
    <row r="162" spans="2:244">
      <c r="B162" s="206"/>
      <c r="C162" s="51" t="s">
        <v>100</v>
      </c>
      <c r="D162" s="25" t="s">
        <v>63</v>
      </c>
      <c r="E162" s="42" t="s">
        <v>206</v>
      </c>
      <c r="F162" s="52">
        <f>7850*0.16*0.016</f>
        <v>20.096</v>
      </c>
      <c r="G162" s="157">
        <v>360</v>
      </c>
      <c r="H162" s="175"/>
      <c r="I162" s="159">
        <v>2</v>
      </c>
      <c r="J162" s="160"/>
      <c r="K162" s="29" t="s">
        <v>200</v>
      </c>
      <c r="L162" s="14">
        <f t="shared" si="37"/>
        <v>7.234560000000001</v>
      </c>
      <c r="M162" s="81">
        <f t="shared" si="36"/>
        <v>14.469120000000002</v>
      </c>
      <c r="N162" s="167"/>
    </row>
    <row r="163" spans="2:244">
      <c r="B163" s="211" t="s">
        <v>72</v>
      </c>
      <c r="C163" s="53" t="s">
        <v>207</v>
      </c>
      <c r="D163" s="54" t="s">
        <v>74</v>
      </c>
      <c r="E163" s="55">
        <v>180</v>
      </c>
      <c r="F163" s="56">
        <v>16.3</v>
      </c>
      <c r="G163" s="151">
        <v>3455</v>
      </c>
      <c r="H163" s="152"/>
      <c r="I163" s="153">
        <v>2</v>
      </c>
      <c r="J163" s="154"/>
      <c r="K163" s="28" t="s">
        <v>200</v>
      </c>
      <c r="L163" s="57">
        <f t="shared" si="37"/>
        <v>56.316499999999998</v>
      </c>
      <c r="M163" s="82">
        <f t="shared" si="36"/>
        <v>112.633</v>
      </c>
      <c r="N163" s="166" t="s">
        <v>86</v>
      </c>
    </row>
    <row r="164" spans="2:244">
      <c r="B164" s="212"/>
      <c r="C164" s="51" t="s">
        <v>203</v>
      </c>
      <c r="D164" s="25" t="s">
        <v>63</v>
      </c>
      <c r="E164" s="42" t="s">
        <v>102</v>
      </c>
      <c r="F164" s="52">
        <f>7850*0.1*0.006</f>
        <v>4.71</v>
      </c>
      <c r="G164" s="157">
        <v>80</v>
      </c>
      <c r="H164" s="175"/>
      <c r="I164" s="159">
        <v>2</v>
      </c>
      <c r="J164" s="160"/>
      <c r="K164" s="29" t="s">
        <v>200</v>
      </c>
      <c r="L164" s="14">
        <f t="shared" ref="L164" si="40">IF(I164&lt;&gt;"",(F164*G164*0.001),"")</f>
        <v>0.37680000000000002</v>
      </c>
      <c r="M164" s="81">
        <f t="shared" ref="M164" si="41">IF(I164&lt;&gt;"",I164*L164,"")</f>
        <v>0.75360000000000005</v>
      </c>
      <c r="N164" s="167"/>
    </row>
    <row r="165" spans="2:244">
      <c r="B165" s="212"/>
      <c r="C165" s="51" t="s">
        <v>239</v>
      </c>
      <c r="D165" s="25" t="s">
        <v>63</v>
      </c>
      <c r="E165" s="42" t="s">
        <v>240</v>
      </c>
      <c r="F165" s="52">
        <f>7850*0.19*0.01</f>
        <v>14.915000000000001</v>
      </c>
      <c r="G165" s="157">
        <v>85</v>
      </c>
      <c r="H165" s="175"/>
      <c r="I165" s="159">
        <v>2</v>
      </c>
      <c r="J165" s="160"/>
      <c r="K165" s="29" t="s">
        <v>200</v>
      </c>
      <c r="L165" s="14">
        <f t="shared" si="37"/>
        <v>1.2677750000000001</v>
      </c>
      <c r="M165" s="81">
        <f t="shared" si="36"/>
        <v>2.5355500000000002</v>
      </c>
      <c r="N165" s="167"/>
    </row>
    <row r="166" spans="2:244">
      <c r="B166" s="211" t="s">
        <v>73</v>
      </c>
      <c r="C166" s="53" t="s">
        <v>208</v>
      </c>
      <c r="D166" s="54" t="s">
        <v>74</v>
      </c>
      <c r="E166" s="55">
        <v>180</v>
      </c>
      <c r="F166" s="56">
        <v>16.3</v>
      </c>
      <c r="G166" s="165">
        <v>3480</v>
      </c>
      <c r="H166" s="165"/>
      <c r="I166" s="153">
        <v>1</v>
      </c>
      <c r="J166" s="154"/>
      <c r="K166" s="28" t="s">
        <v>200</v>
      </c>
      <c r="L166" s="57">
        <f t="shared" si="37"/>
        <v>56.724000000000004</v>
      </c>
      <c r="M166" s="82">
        <f t="shared" si="36"/>
        <v>56.724000000000004</v>
      </c>
      <c r="N166" s="166" t="s">
        <v>86</v>
      </c>
    </row>
    <row r="167" spans="2:244">
      <c r="B167" s="212"/>
      <c r="C167" s="51" t="s">
        <v>203</v>
      </c>
      <c r="D167" s="25" t="s">
        <v>63</v>
      </c>
      <c r="E167" s="42" t="s">
        <v>102</v>
      </c>
      <c r="F167" s="52">
        <f>7850*0.1*0.006</f>
        <v>4.71</v>
      </c>
      <c r="G167" s="158">
        <v>250</v>
      </c>
      <c r="H167" s="158"/>
      <c r="I167" s="159">
        <f>2*I166</f>
        <v>2</v>
      </c>
      <c r="J167" s="160"/>
      <c r="K167" s="29" t="s">
        <v>200</v>
      </c>
      <c r="L167" s="14">
        <f t="shared" si="37"/>
        <v>1.1775</v>
      </c>
      <c r="M167" s="81">
        <f t="shared" si="36"/>
        <v>2.355</v>
      </c>
      <c r="N167" s="167"/>
    </row>
    <row r="168" spans="2:244">
      <c r="B168" s="172" t="s">
        <v>69</v>
      </c>
      <c r="C168" s="53" t="s">
        <v>50</v>
      </c>
      <c r="D168" s="54" t="s">
        <v>17</v>
      </c>
      <c r="E168" s="55">
        <v>360</v>
      </c>
      <c r="F168" s="56">
        <v>57.1</v>
      </c>
      <c r="G168" s="151">
        <v>11330</v>
      </c>
      <c r="H168" s="152"/>
      <c r="I168" s="153">
        <v>1</v>
      </c>
      <c r="J168" s="154"/>
      <c r="K168" s="28" t="s">
        <v>200</v>
      </c>
      <c r="L168" s="57">
        <f t="shared" ref="L168:L170" si="42">IF(I168&lt;&gt;"",(F168*G168*0.001),"")</f>
        <v>646.94299999999998</v>
      </c>
      <c r="M168" s="82">
        <f t="shared" ref="M168:M170" si="43">IF(I168&lt;&gt;"",I168*L168,"")</f>
        <v>646.94299999999998</v>
      </c>
      <c r="N168" s="166" t="s">
        <v>87</v>
      </c>
    </row>
    <row r="169" spans="2:244">
      <c r="B169" s="206"/>
      <c r="C169" s="51" t="s">
        <v>100</v>
      </c>
      <c r="D169" s="25" t="s">
        <v>63</v>
      </c>
      <c r="E169" s="42" t="s">
        <v>206</v>
      </c>
      <c r="F169" s="52">
        <f>7850*0.16*0.016</f>
        <v>20.096</v>
      </c>
      <c r="G169" s="157">
        <v>360</v>
      </c>
      <c r="H169" s="175"/>
      <c r="I169" s="159">
        <v>2</v>
      </c>
      <c r="J169" s="160"/>
      <c r="K169" s="29" t="s">
        <v>200</v>
      </c>
      <c r="L169" s="14">
        <f t="shared" ref="L169" si="44">IF(I169&lt;&gt;"",(F169*G169*0.001),"")</f>
        <v>7.234560000000001</v>
      </c>
      <c r="M169" s="81">
        <f t="shared" ref="M169" si="45">IF(I169&lt;&gt;"",I169*L169,"")</f>
        <v>14.469120000000002</v>
      </c>
      <c r="N169" s="167"/>
    </row>
    <row r="170" spans="2:244">
      <c r="B170" s="206"/>
      <c r="C170" s="51" t="s">
        <v>204</v>
      </c>
      <c r="D170" s="25" t="s">
        <v>63</v>
      </c>
      <c r="E170" s="42" t="s">
        <v>205</v>
      </c>
      <c r="F170" s="52">
        <f>7850*0.008*0.33</f>
        <v>20.724000000000004</v>
      </c>
      <c r="G170" s="157">
        <v>79</v>
      </c>
      <c r="H170" s="175"/>
      <c r="I170" s="159">
        <v>4</v>
      </c>
      <c r="J170" s="160"/>
      <c r="K170" s="29" t="s">
        <v>200</v>
      </c>
      <c r="L170" s="14">
        <f t="shared" si="42"/>
        <v>1.6371960000000003</v>
      </c>
      <c r="M170" s="81">
        <f t="shared" si="43"/>
        <v>6.5487840000000013</v>
      </c>
      <c r="N170" s="167"/>
    </row>
    <row r="171" spans="2:244">
      <c r="B171" s="170" t="s">
        <v>82</v>
      </c>
      <c r="C171" s="78" t="s">
        <v>82</v>
      </c>
      <c r="D171" s="54" t="s">
        <v>39</v>
      </c>
      <c r="E171" s="77" t="s">
        <v>40</v>
      </c>
      <c r="F171" s="56">
        <v>6.9</v>
      </c>
      <c r="G171" s="151">
        <v>3680</v>
      </c>
      <c r="H171" s="152"/>
      <c r="I171" s="153">
        <v>1</v>
      </c>
      <c r="J171" s="154"/>
      <c r="K171" s="28" t="s">
        <v>200</v>
      </c>
      <c r="L171" s="57">
        <f t="shared" si="37"/>
        <v>25.391999999999999</v>
      </c>
      <c r="M171" s="82">
        <f t="shared" si="36"/>
        <v>25.391999999999999</v>
      </c>
      <c r="N171" s="166" t="s">
        <v>38</v>
      </c>
    </row>
    <row r="172" spans="2:244">
      <c r="B172" s="171"/>
      <c r="C172" s="79" t="s">
        <v>67</v>
      </c>
      <c r="D172" s="27" t="s">
        <v>63</v>
      </c>
      <c r="E172" s="59" t="s">
        <v>68</v>
      </c>
      <c r="F172" s="60">
        <f>7850*0.006*0.14</f>
        <v>6.5940000000000012</v>
      </c>
      <c r="G172" s="162">
        <v>60</v>
      </c>
      <c r="H172" s="162"/>
      <c r="I172" s="180">
        <f>I171*2</f>
        <v>2</v>
      </c>
      <c r="J172" s="181"/>
      <c r="K172" s="30" t="s">
        <v>200</v>
      </c>
      <c r="L172" s="23">
        <f t="shared" si="37"/>
        <v>0.3956400000000001</v>
      </c>
      <c r="M172" s="83">
        <f t="shared" si="36"/>
        <v>0.79128000000000021</v>
      </c>
      <c r="N172" s="168"/>
    </row>
    <row r="173" spans="2:244">
      <c r="B173" s="170" t="s">
        <v>83</v>
      </c>
      <c r="C173" s="78" t="s">
        <v>83</v>
      </c>
      <c r="D173" s="54" t="s">
        <v>39</v>
      </c>
      <c r="E173" s="77" t="s">
        <v>40</v>
      </c>
      <c r="F173" s="56">
        <v>6.9</v>
      </c>
      <c r="G173" s="151">
        <v>3550</v>
      </c>
      <c r="H173" s="152"/>
      <c r="I173" s="153">
        <v>2</v>
      </c>
      <c r="J173" s="154"/>
      <c r="K173" s="28" t="s">
        <v>200</v>
      </c>
      <c r="L173" s="57">
        <f t="shared" si="37"/>
        <v>24.495000000000001</v>
      </c>
      <c r="M173" s="82">
        <f t="shared" si="36"/>
        <v>48.99</v>
      </c>
      <c r="N173" s="166" t="s">
        <v>38</v>
      </c>
    </row>
    <row r="174" spans="2:244">
      <c r="B174" s="171"/>
      <c r="C174" s="58" t="s">
        <v>67</v>
      </c>
      <c r="D174" s="27" t="s">
        <v>63</v>
      </c>
      <c r="E174" s="59" t="s">
        <v>68</v>
      </c>
      <c r="F174" s="60">
        <f>7850*0.006*0.14</f>
        <v>6.5940000000000012</v>
      </c>
      <c r="G174" s="162">
        <v>60</v>
      </c>
      <c r="H174" s="162"/>
      <c r="I174" s="159">
        <f>2*I173</f>
        <v>4</v>
      </c>
      <c r="J174" s="160"/>
      <c r="K174" s="29" t="s">
        <v>200</v>
      </c>
      <c r="L174" s="23">
        <f t="shared" si="37"/>
        <v>0.3956400000000001</v>
      </c>
      <c r="M174" s="83">
        <f t="shared" si="36"/>
        <v>1.5825600000000004</v>
      </c>
      <c r="N174" s="168"/>
    </row>
    <row r="175" spans="2:244">
      <c r="C175" s="34"/>
      <c r="D175" s="178" t="s">
        <v>1</v>
      </c>
      <c r="E175" s="178"/>
      <c r="F175" s="179" t="s">
        <v>8</v>
      </c>
      <c r="G175" s="179"/>
      <c r="H175" s="38"/>
      <c r="I175" s="39"/>
      <c r="J175" s="39" t="str">
        <f ca="1">IF(SUM(M156:M174)=F189,"","BŁĄD")</f>
        <v/>
      </c>
      <c r="K175" s="38"/>
      <c r="L175" s="68"/>
      <c r="M175" s="4"/>
      <c r="ID175" s="5"/>
      <c r="IE175" s="5"/>
      <c r="IF175" s="5"/>
      <c r="IG175" s="5"/>
      <c r="IH175" s="5"/>
      <c r="II175" s="5"/>
      <c r="IJ175" s="5"/>
    </row>
    <row r="176" spans="2:244">
      <c r="C176" s="6"/>
      <c r="D176" s="25" t="s">
        <v>89</v>
      </c>
      <c r="E176" s="42">
        <v>200</v>
      </c>
      <c r="F176" s="67">
        <f>IF(E176&lt;&gt;"",SUMIF(E156:E174,E176,M156:M174),"")</f>
        <v>451.08323999999999</v>
      </c>
      <c r="G176" s="7" t="str">
        <f t="shared" ref="G176:G188" si="46">IF(F176&lt;&gt;"","kg","")</f>
        <v>kg</v>
      </c>
      <c r="J176" s="91" t="s">
        <v>112</v>
      </c>
      <c r="K176" s="149" t="s">
        <v>111</v>
      </c>
      <c r="L176" s="149"/>
      <c r="M176" s="74" t="s">
        <v>85</v>
      </c>
      <c r="N176" s="74" t="s">
        <v>114</v>
      </c>
      <c r="O176" s="74" t="s">
        <v>116</v>
      </c>
      <c r="HY176" s="5"/>
      <c r="HZ176" s="5"/>
      <c r="IA176" s="5"/>
      <c r="IB176" s="5"/>
      <c r="IC176" s="5"/>
      <c r="ID176" s="5"/>
      <c r="IE176" s="5"/>
      <c r="IF176" s="5"/>
      <c r="IG176" s="5"/>
      <c r="IH176" s="5"/>
      <c r="II176" s="5"/>
      <c r="IJ176" s="5"/>
    </row>
    <row r="177" spans="3:244" ht="11.25" customHeight="1">
      <c r="C177" s="6"/>
      <c r="D177" s="25" t="s">
        <v>17</v>
      </c>
      <c r="E177" s="42">
        <v>330</v>
      </c>
      <c r="F177" s="67">
        <f>IF(E177&lt;&gt;"",SUMIF(E156:E174,E177,M156:M174),"")</f>
        <v>810.64099999999996</v>
      </c>
      <c r="G177" s="7" t="str">
        <f t="shared" si="46"/>
        <v>kg</v>
      </c>
      <c r="J177" s="150" t="s">
        <v>113</v>
      </c>
      <c r="K177" s="163" t="s">
        <v>117</v>
      </c>
      <c r="L177" s="163"/>
      <c r="M177" s="149">
        <v>6</v>
      </c>
      <c r="N177" s="149">
        <v>4</v>
      </c>
      <c r="O177" s="149">
        <f>N177*M177</f>
        <v>24</v>
      </c>
      <c r="HY177" s="5"/>
      <c r="HZ177" s="5"/>
      <c r="IA177" s="5"/>
      <c r="IB177" s="5"/>
      <c r="IC177" s="5"/>
      <c r="ID177" s="5"/>
      <c r="IE177" s="5"/>
      <c r="IF177" s="5"/>
      <c r="IG177" s="5"/>
      <c r="IH177" s="5"/>
      <c r="II177" s="5"/>
      <c r="IJ177" s="5"/>
    </row>
    <row r="178" spans="3:244">
      <c r="C178" s="6"/>
      <c r="D178" s="25" t="s">
        <v>17</v>
      </c>
      <c r="E178" s="42">
        <v>360</v>
      </c>
      <c r="F178" s="67">
        <f>IF(E178&lt;&gt;"",SUMIF(E156:E174,E178,M156:M174),"")</f>
        <v>646.94299999999998</v>
      </c>
      <c r="G178" s="7" t="str">
        <f t="shared" si="46"/>
        <v>kg</v>
      </c>
      <c r="J178" s="150"/>
      <c r="K178" s="163"/>
      <c r="L178" s="163"/>
      <c r="M178" s="149"/>
      <c r="N178" s="149"/>
      <c r="O178" s="149"/>
      <c r="HY178" s="5"/>
      <c r="HZ178" s="5"/>
      <c r="IA178" s="5"/>
      <c r="IB178" s="5"/>
      <c r="IC178" s="5"/>
      <c r="ID178" s="5"/>
      <c r="IE178" s="5"/>
      <c r="IF178" s="5"/>
      <c r="IG178" s="5"/>
      <c r="IH178" s="5"/>
      <c r="II178" s="5"/>
      <c r="IJ178" s="5"/>
    </row>
    <row r="179" spans="3:244">
      <c r="C179" s="6"/>
      <c r="D179" s="25" t="s">
        <v>74</v>
      </c>
      <c r="E179" s="12">
        <v>180</v>
      </c>
      <c r="F179" s="67">
        <f>IF(E179&lt;&gt;"",SUMIF(E156:E174,E179,M156:M174),"")</f>
        <v>169.357</v>
      </c>
      <c r="G179" s="7" t="str">
        <f t="shared" si="46"/>
        <v>kg</v>
      </c>
      <c r="J179" s="150"/>
      <c r="K179" s="163"/>
      <c r="L179" s="163"/>
      <c r="M179" s="149"/>
      <c r="N179" s="149"/>
      <c r="O179" s="149"/>
      <c r="HY179" s="5"/>
      <c r="HZ179" s="5"/>
      <c r="IA179" s="5"/>
      <c r="IB179" s="5"/>
      <c r="IC179" s="5"/>
      <c r="ID179" s="5"/>
      <c r="IE179" s="5"/>
      <c r="IF179" s="5"/>
      <c r="IG179" s="5"/>
      <c r="IH179" s="5"/>
      <c r="II179" s="5"/>
      <c r="IJ179" s="5"/>
    </row>
    <row r="180" spans="3:244">
      <c r="C180" s="6"/>
      <c r="D180" s="25" t="s">
        <v>39</v>
      </c>
      <c r="E180" s="42" t="s">
        <v>40</v>
      </c>
      <c r="F180" s="67">
        <f>IF(E180&lt;&gt;"",SUMIF(E155:E174,E180,M155:M174),"")</f>
        <v>74.382000000000005</v>
      </c>
      <c r="G180" s="7" t="str">
        <f t="shared" si="46"/>
        <v>kg</v>
      </c>
      <c r="J180" s="150" t="s">
        <v>119</v>
      </c>
      <c r="K180" s="163" t="s">
        <v>209</v>
      </c>
      <c r="L180" s="163"/>
      <c r="M180" s="149">
        <v>2</v>
      </c>
      <c r="N180" s="149">
        <v>4</v>
      </c>
      <c r="O180" s="149">
        <f>N180*M180</f>
        <v>8</v>
      </c>
      <c r="HY180" s="5"/>
      <c r="HZ180" s="5"/>
      <c r="IA180" s="5"/>
      <c r="IB180" s="5"/>
      <c r="IC180" s="5"/>
      <c r="ID180" s="5"/>
      <c r="IE180" s="5"/>
      <c r="IF180" s="5"/>
      <c r="IG180" s="5"/>
      <c r="IH180" s="5"/>
      <c r="II180" s="5"/>
      <c r="IJ180" s="5"/>
    </row>
    <row r="181" spans="3:244">
      <c r="C181" s="6"/>
      <c r="D181" s="25" t="s">
        <v>63</v>
      </c>
      <c r="E181" s="42" t="s">
        <v>101</v>
      </c>
      <c r="F181" s="67">
        <f>IF(E181&lt;&gt;"",SUMIF(E156:E174,E181,M156:M174),"")</f>
        <v>7.1968800000000002</v>
      </c>
      <c r="G181" s="7" t="str">
        <f t="shared" si="46"/>
        <v>kg</v>
      </c>
      <c r="I181" s="11"/>
      <c r="J181" s="150"/>
      <c r="K181" s="163"/>
      <c r="L181" s="163"/>
      <c r="M181" s="149"/>
      <c r="N181" s="149"/>
      <c r="O181" s="149"/>
      <c r="ID181" s="5"/>
      <c r="IE181" s="5"/>
      <c r="IF181" s="5"/>
      <c r="IG181" s="5"/>
      <c r="IH181" s="5"/>
      <c r="II181" s="5"/>
      <c r="IJ181" s="5"/>
    </row>
    <row r="182" spans="3:244">
      <c r="C182" s="6"/>
      <c r="D182" s="25" t="s">
        <v>63</v>
      </c>
      <c r="E182" s="42" t="s">
        <v>104</v>
      </c>
      <c r="F182" s="67">
        <f>IF(E182&lt;&gt;"",SUMIF(E156:E174,E182,M156:M174),"")</f>
        <v>8.9961000000000002</v>
      </c>
      <c r="G182" s="7" t="str">
        <f t="shared" si="46"/>
        <v>kg</v>
      </c>
      <c r="I182" s="11"/>
      <c r="J182" s="150"/>
      <c r="K182" s="163"/>
      <c r="L182" s="163"/>
      <c r="M182" s="149"/>
      <c r="N182" s="149"/>
      <c r="O182" s="149"/>
      <c r="ID182" s="5"/>
      <c r="IE182" s="5"/>
      <c r="IF182" s="5"/>
      <c r="IG182" s="5"/>
      <c r="IH182" s="5"/>
      <c r="II182" s="5"/>
      <c r="IJ182" s="5"/>
    </row>
    <row r="183" spans="3:244">
      <c r="C183" s="6"/>
      <c r="D183" s="25" t="s">
        <v>63</v>
      </c>
      <c r="E183" s="42" t="s">
        <v>103</v>
      </c>
      <c r="F183" s="67">
        <f ca="1">IF(E183&lt;&gt;"",SUMIF(E156:E175,E183,M156:M174),"")</f>
        <v>5.9421359999999996</v>
      </c>
      <c r="G183" s="7" t="str">
        <f t="shared" ca="1" si="46"/>
        <v>kg</v>
      </c>
      <c r="I183" s="11"/>
      <c r="J183" s="150" t="s">
        <v>120</v>
      </c>
      <c r="K183" s="163" t="s">
        <v>156</v>
      </c>
      <c r="L183" s="163"/>
      <c r="M183" s="149">
        <v>2</v>
      </c>
      <c r="N183" s="149">
        <f>2+8</f>
        <v>10</v>
      </c>
      <c r="O183" s="149">
        <f>N183*M183</f>
        <v>20</v>
      </c>
      <c r="ID183" s="5"/>
      <c r="IE183" s="5"/>
      <c r="IF183" s="5"/>
      <c r="IG183" s="5"/>
      <c r="IH183" s="5"/>
      <c r="II183" s="5"/>
      <c r="IJ183" s="5"/>
    </row>
    <row r="184" spans="3:244">
      <c r="C184" s="6"/>
      <c r="D184" s="25" t="s">
        <v>63</v>
      </c>
      <c r="E184" s="42" t="s">
        <v>206</v>
      </c>
      <c r="F184" s="67">
        <f>IF(E184&lt;&gt;"",SUMIF(E156:E174,E184,M156:M174),"")</f>
        <v>42.322176000000006</v>
      </c>
      <c r="G184" s="7" t="str">
        <f t="shared" si="46"/>
        <v>kg</v>
      </c>
      <c r="I184" s="11"/>
      <c r="J184" s="150"/>
      <c r="K184" s="163"/>
      <c r="L184" s="163"/>
      <c r="M184" s="149"/>
      <c r="N184" s="149"/>
      <c r="O184" s="149"/>
      <c r="ID184" s="5"/>
      <c r="IE184" s="5"/>
      <c r="IF184" s="5"/>
      <c r="IG184" s="5"/>
      <c r="IH184" s="5"/>
      <c r="II184" s="5"/>
      <c r="IJ184" s="5"/>
    </row>
    <row r="185" spans="3:244">
      <c r="C185" s="6"/>
      <c r="D185" s="25" t="s">
        <v>63</v>
      </c>
      <c r="E185" s="42" t="s">
        <v>102</v>
      </c>
      <c r="F185" s="125">
        <f>IF(E185&lt;&gt;"",SUMIF(E156:E174,E185,M156:M174),"")</f>
        <v>3.1086</v>
      </c>
      <c r="G185" s="7" t="str">
        <f t="shared" ref="G185" si="47">IF(F185&lt;&gt;"","kg","")</f>
        <v>kg</v>
      </c>
      <c r="I185" s="11"/>
      <c r="J185" s="150"/>
      <c r="K185" s="163"/>
      <c r="L185" s="163"/>
      <c r="M185" s="149"/>
      <c r="N185" s="149"/>
      <c r="O185" s="149"/>
      <c r="ID185" s="5"/>
      <c r="IE185" s="5"/>
      <c r="IF185" s="5"/>
      <c r="IG185" s="5"/>
      <c r="IH185" s="5"/>
      <c r="II185" s="5"/>
      <c r="IJ185" s="5"/>
    </row>
    <row r="186" spans="3:244">
      <c r="C186" s="6"/>
      <c r="D186" s="25" t="s">
        <v>63</v>
      </c>
      <c r="E186" s="42" t="s">
        <v>205</v>
      </c>
      <c r="F186" s="125">
        <f>IF(E186&lt;&gt;"",SUMIF(E156:E174,E186,M156:M174),"")</f>
        <v>6.5487840000000013</v>
      </c>
      <c r="G186" s="7" t="str">
        <f t="shared" ref="G186" si="48">IF(F186&lt;&gt;"","kg","")</f>
        <v>kg</v>
      </c>
      <c r="I186" s="11"/>
      <c r="J186" s="150" t="s">
        <v>121</v>
      </c>
      <c r="K186" s="163" t="s">
        <v>201</v>
      </c>
      <c r="L186" s="163"/>
      <c r="M186" s="149">
        <v>2</v>
      </c>
      <c r="N186" s="149">
        <v>2</v>
      </c>
      <c r="O186" s="149">
        <f>N186*M186</f>
        <v>4</v>
      </c>
      <c r="ID186" s="5"/>
      <c r="IE186" s="5"/>
      <c r="IF186" s="5"/>
      <c r="IG186" s="5"/>
      <c r="IH186" s="5"/>
      <c r="II186" s="5"/>
      <c r="IJ186" s="5"/>
    </row>
    <row r="187" spans="3:244">
      <c r="D187" s="25" t="s">
        <v>63</v>
      </c>
      <c r="E187" s="42" t="s">
        <v>240</v>
      </c>
      <c r="F187" s="130">
        <f>IF(E187&lt;&gt;"",SUMIF(E156:E174,E187,M156:M174),"")</f>
        <v>2.5355500000000002</v>
      </c>
      <c r="G187" s="7" t="str">
        <f t="shared" ref="G187" si="49">IF(F187&lt;&gt;"","kg","")</f>
        <v>kg</v>
      </c>
      <c r="J187" s="150"/>
      <c r="K187" s="163"/>
      <c r="L187" s="163"/>
      <c r="M187" s="149"/>
      <c r="N187" s="149"/>
      <c r="O187" s="149"/>
    </row>
    <row r="188" spans="3:244">
      <c r="D188" s="25" t="s">
        <v>63</v>
      </c>
      <c r="E188" s="42" t="s">
        <v>68</v>
      </c>
      <c r="F188" s="67">
        <f>IF(E188&lt;&gt;"",SUMIF(E156:E174,E188,M156:M174),"")</f>
        <v>2.3738400000000004</v>
      </c>
      <c r="G188" s="7" t="str">
        <f t="shared" si="46"/>
        <v>kg</v>
      </c>
      <c r="J188" s="150"/>
      <c r="K188" s="163"/>
      <c r="L188" s="163"/>
      <c r="M188" s="149"/>
      <c r="N188" s="149"/>
      <c r="O188" s="149"/>
    </row>
    <row r="189" spans="3:244">
      <c r="D189" s="17"/>
      <c r="E189" s="18" t="s">
        <v>9</v>
      </c>
      <c r="F189" s="41">
        <f ca="1">SUM(F176:F188)</f>
        <v>2231.4303060000007</v>
      </c>
      <c r="G189" s="19" t="s">
        <v>108</v>
      </c>
      <c r="J189" s="150" t="s">
        <v>255</v>
      </c>
      <c r="K189" s="163" t="s">
        <v>256</v>
      </c>
      <c r="L189" s="163"/>
      <c r="M189" s="149">
        <v>1</v>
      </c>
      <c r="N189" s="149">
        <v>54</v>
      </c>
      <c r="O189" s="149">
        <f>N189*M189</f>
        <v>54</v>
      </c>
    </row>
    <row r="190" spans="3:244">
      <c r="D190" s="207" t="s">
        <v>107</v>
      </c>
      <c r="E190" s="207"/>
      <c r="F190" s="61">
        <f ca="1">F189*0.015</f>
        <v>33.471454590000008</v>
      </c>
      <c r="G190" s="88" t="s">
        <v>108</v>
      </c>
      <c r="J190" s="150"/>
      <c r="K190" s="163"/>
      <c r="L190" s="163"/>
      <c r="M190" s="149"/>
      <c r="N190" s="149"/>
      <c r="O190" s="149"/>
    </row>
    <row r="191" spans="3:244">
      <c r="J191" s="150"/>
      <c r="K191" s="163"/>
      <c r="L191" s="163"/>
      <c r="M191" s="149"/>
      <c r="N191" s="149"/>
      <c r="O191" s="149"/>
    </row>
    <row r="192" spans="3:244">
      <c r="E192" s="89" t="s">
        <v>109</v>
      </c>
      <c r="F192" s="9">
        <f>F89+F128+F150</f>
        <v>14239.968746999999</v>
      </c>
      <c r="G192" s="90" t="s">
        <v>108</v>
      </c>
    </row>
    <row r="193" spans="2:10">
      <c r="C193" s="5"/>
      <c r="E193" s="89" t="s">
        <v>236</v>
      </c>
      <c r="F193" s="9">
        <f ca="1">F189</f>
        <v>2231.4303060000007</v>
      </c>
      <c r="G193" s="90" t="s">
        <v>108</v>
      </c>
      <c r="H193" s="5"/>
      <c r="I193" s="5"/>
      <c r="J193" s="5"/>
    </row>
    <row r="194" spans="2:10">
      <c r="C194" s="5"/>
      <c r="E194" s="89" t="s">
        <v>110</v>
      </c>
      <c r="F194" s="9">
        <f ca="1">(F192+F193)*1.5/100</f>
        <v>247.07098579500001</v>
      </c>
      <c r="G194" s="90" t="s">
        <v>108</v>
      </c>
      <c r="H194" s="5"/>
      <c r="I194" s="5"/>
      <c r="J194" s="5"/>
    </row>
    <row r="195" spans="2:10">
      <c r="C195" s="215" t="s">
        <v>131</v>
      </c>
      <c r="D195" s="216"/>
      <c r="E195" s="217"/>
      <c r="F195" s="223" t="s">
        <v>132</v>
      </c>
      <c r="G195" s="97" t="s">
        <v>133</v>
      </c>
      <c r="H195" s="74" t="s">
        <v>134</v>
      </c>
      <c r="I195" s="221" t="s">
        <v>135</v>
      </c>
      <c r="J195" s="149"/>
    </row>
    <row r="196" spans="2:10">
      <c r="C196" s="218"/>
      <c r="D196" s="219"/>
      <c r="E196" s="220"/>
      <c r="F196" s="223"/>
      <c r="G196" s="98">
        <f>150+2*7.55</f>
        <v>165.1</v>
      </c>
      <c r="H196" s="99">
        <v>8.6</v>
      </c>
      <c r="I196" s="222">
        <f>H196*G196</f>
        <v>1419.86</v>
      </c>
      <c r="J196" s="222"/>
    </row>
    <row r="197" spans="2:10">
      <c r="C197" s="215" t="s">
        <v>140</v>
      </c>
      <c r="D197" s="216"/>
      <c r="E197" s="217"/>
      <c r="F197" s="223" t="s">
        <v>250</v>
      </c>
      <c r="G197" s="97" t="s">
        <v>133</v>
      </c>
      <c r="H197" s="74" t="s">
        <v>134</v>
      </c>
      <c r="I197" s="124" t="s">
        <v>135</v>
      </c>
      <c r="J197" s="122"/>
    </row>
    <row r="198" spans="2:10">
      <c r="C198" s="218"/>
      <c r="D198" s="219"/>
      <c r="E198" s="220"/>
      <c r="F198" s="223"/>
      <c r="G198" s="98">
        <f>(5.75+7.25)*2+6.05*4+7.85*4+3.92+4.2+3*8.85</f>
        <v>116.27</v>
      </c>
      <c r="H198" s="99">
        <v>2.68</v>
      </c>
      <c r="I198" s="213">
        <f>H198*G198</f>
        <v>311.60360000000003</v>
      </c>
      <c r="J198" s="214"/>
    </row>
    <row r="200" spans="2:10">
      <c r="B200" s="132" t="s">
        <v>248</v>
      </c>
    </row>
  </sheetData>
  <sheetProtection selectLockedCells="1" selectUnlockedCells="1"/>
  <mergeCells count="442">
    <mergeCell ref="O189:O191"/>
    <mergeCell ref="B34:B39"/>
    <mergeCell ref="G34:H34"/>
    <mergeCell ref="I34:J34"/>
    <mergeCell ref="N34:N39"/>
    <mergeCell ref="G35:H35"/>
    <mergeCell ref="I35:J35"/>
    <mergeCell ref="G36:H36"/>
    <mergeCell ref="I36:J36"/>
    <mergeCell ref="G37:H37"/>
    <mergeCell ref="I37:J37"/>
    <mergeCell ref="G38:H38"/>
    <mergeCell ref="I38:J38"/>
    <mergeCell ref="G39:H39"/>
    <mergeCell ref="I39:J39"/>
    <mergeCell ref="B116:B119"/>
    <mergeCell ref="G116:H116"/>
    <mergeCell ref="I116:J116"/>
    <mergeCell ref="N116:N119"/>
    <mergeCell ref="G117:H117"/>
    <mergeCell ref="I117:J117"/>
    <mergeCell ref="G118:H118"/>
    <mergeCell ref="I118:J118"/>
    <mergeCell ref="G119:H119"/>
    <mergeCell ref="N28:N33"/>
    <mergeCell ref="G29:H29"/>
    <mergeCell ref="I29:J29"/>
    <mergeCell ref="G30:H30"/>
    <mergeCell ref="I30:J30"/>
    <mergeCell ref="G31:H31"/>
    <mergeCell ref="I31:J31"/>
    <mergeCell ref="G32:H32"/>
    <mergeCell ref="I32:J32"/>
    <mergeCell ref="G33:H33"/>
    <mergeCell ref="I33:J33"/>
    <mergeCell ref="N22:N27"/>
    <mergeCell ref="G23:H23"/>
    <mergeCell ref="I23:J23"/>
    <mergeCell ref="G24:H24"/>
    <mergeCell ref="I24:J24"/>
    <mergeCell ref="G25:H25"/>
    <mergeCell ref="I25:J25"/>
    <mergeCell ref="G26:H26"/>
    <mergeCell ref="I26:J26"/>
    <mergeCell ref="G27:H27"/>
    <mergeCell ref="I27:J27"/>
    <mergeCell ref="G22:H22"/>
    <mergeCell ref="I135:J135"/>
    <mergeCell ref="I119:J119"/>
    <mergeCell ref="O145:O148"/>
    <mergeCell ref="K149:L151"/>
    <mergeCell ref="M149:M151"/>
    <mergeCell ref="N149:N151"/>
    <mergeCell ref="O149:O151"/>
    <mergeCell ref="B104:B107"/>
    <mergeCell ref="G104:H104"/>
    <mergeCell ref="I104:J104"/>
    <mergeCell ref="N104:N107"/>
    <mergeCell ref="G105:H105"/>
    <mergeCell ref="I105:J105"/>
    <mergeCell ref="G106:H106"/>
    <mergeCell ref="I106:J106"/>
    <mergeCell ref="G107:H107"/>
    <mergeCell ref="I107:J107"/>
    <mergeCell ref="B108:B111"/>
    <mergeCell ref="G108:H108"/>
    <mergeCell ref="I108:J108"/>
    <mergeCell ref="N108:N111"/>
    <mergeCell ref="G109:H109"/>
    <mergeCell ref="I109:J109"/>
    <mergeCell ref="G110:H110"/>
    <mergeCell ref="G138:H138"/>
    <mergeCell ref="I138:J138"/>
    <mergeCell ref="J149:J151"/>
    <mergeCell ref="K145:L148"/>
    <mergeCell ref="J145:J148"/>
    <mergeCell ref="M145:M148"/>
    <mergeCell ref="N145:N148"/>
    <mergeCell ref="K154:K155"/>
    <mergeCell ref="L154:M154"/>
    <mergeCell ref="N154:N155"/>
    <mergeCell ref="I198:J198"/>
    <mergeCell ref="C197:E198"/>
    <mergeCell ref="D190:E190"/>
    <mergeCell ref="D175:E175"/>
    <mergeCell ref="F175:G175"/>
    <mergeCell ref="B173:B174"/>
    <mergeCell ref="G173:H173"/>
    <mergeCell ref="I173:J173"/>
    <mergeCell ref="N173:N174"/>
    <mergeCell ref="G174:H174"/>
    <mergeCell ref="I174:J174"/>
    <mergeCell ref="I195:J195"/>
    <mergeCell ref="I196:J196"/>
    <mergeCell ref="F195:F196"/>
    <mergeCell ref="C195:E196"/>
    <mergeCell ref="F197:F198"/>
    <mergeCell ref="J189:J191"/>
    <mergeCell ref="K189:L191"/>
    <mergeCell ref="M189:M191"/>
    <mergeCell ref="N189:N191"/>
    <mergeCell ref="O183:O185"/>
    <mergeCell ref="J186:J188"/>
    <mergeCell ref="K186:L188"/>
    <mergeCell ref="M186:M188"/>
    <mergeCell ref="N186:N188"/>
    <mergeCell ref="O186:O188"/>
    <mergeCell ref="K176:L176"/>
    <mergeCell ref="J177:J179"/>
    <mergeCell ref="K177:L179"/>
    <mergeCell ref="M177:M179"/>
    <mergeCell ref="N177:N179"/>
    <mergeCell ref="O177:O179"/>
    <mergeCell ref="J180:J182"/>
    <mergeCell ref="K180:L182"/>
    <mergeCell ref="M180:M182"/>
    <mergeCell ref="N180:N182"/>
    <mergeCell ref="O180:O182"/>
    <mergeCell ref="J183:J185"/>
    <mergeCell ref="K183:L185"/>
    <mergeCell ref="M183:M185"/>
    <mergeCell ref="N183:N185"/>
    <mergeCell ref="O86:O88"/>
    <mergeCell ref="C93:N93"/>
    <mergeCell ref="G132:H133"/>
    <mergeCell ref="I132:J133"/>
    <mergeCell ref="K132:K133"/>
    <mergeCell ref="L132:M132"/>
    <mergeCell ref="N132:N133"/>
    <mergeCell ref="C94:C95"/>
    <mergeCell ref="D94:E95"/>
    <mergeCell ref="F94:F95"/>
    <mergeCell ref="O126:O128"/>
    <mergeCell ref="K126:L128"/>
    <mergeCell ref="M126:M128"/>
    <mergeCell ref="F124:G124"/>
    <mergeCell ref="N126:N128"/>
    <mergeCell ref="G94:H95"/>
    <mergeCell ref="I94:J95"/>
    <mergeCell ref="K94:K95"/>
    <mergeCell ref="D90:E90"/>
    <mergeCell ref="D124:E124"/>
    <mergeCell ref="G98:H98"/>
    <mergeCell ref="G99:H99"/>
    <mergeCell ref="G97:H97"/>
    <mergeCell ref="I111:J111"/>
    <mergeCell ref="D151:E151"/>
    <mergeCell ref="B156:B159"/>
    <mergeCell ref="G156:H156"/>
    <mergeCell ref="I156:J156"/>
    <mergeCell ref="N156:N159"/>
    <mergeCell ref="G157:H157"/>
    <mergeCell ref="I157:J157"/>
    <mergeCell ref="G159:H159"/>
    <mergeCell ref="I159:J159"/>
    <mergeCell ref="C153:N153"/>
    <mergeCell ref="C154:C155"/>
    <mergeCell ref="D154:E155"/>
    <mergeCell ref="F154:F155"/>
    <mergeCell ref="G154:H155"/>
    <mergeCell ref="I154:J155"/>
    <mergeCell ref="G158:H158"/>
    <mergeCell ref="I158:J158"/>
    <mergeCell ref="B72:B73"/>
    <mergeCell ref="G72:H72"/>
    <mergeCell ref="I72:J72"/>
    <mergeCell ref="N72:N73"/>
    <mergeCell ref="G73:H73"/>
    <mergeCell ref="I73:J73"/>
    <mergeCell ref="B74:B75"/>
    <mergeCell ref="G74:H74"/>
    <mergeCell ref="I74:J74"/>
    <mergeCell ref="N74:N75"/>
    <mergeCell ref="G75:H75"/>
    <mergeCell ref="I75:J75"/>
    <mergeCell ref="N68:N69"/>
    <mergeCell ref="G69:H69"/>
    <mergeCell ref="I69:J69"/>
    <mergeCell ref="B70:B71"/>
    <mergeCell ref="G70:H70"/>
    <mergeCell ref="I70:J70"/>
    <mergeCell ref="N70:N71"/>
    <mergeCell ref="G71:H71"/>
    <mergeCell ref="I71:J71"/>
    <mergeCell ref="B166:B167"/>
    <mergeCell ref="G166:H166"/>
    <mergeCell ref="I166:J166"/>
    <mergeCell ref="N166:N167"/>
    <mergeCell ref="G167:H167"/>
    <mergeCell ref="I167:J167"/>
    <mergeCell ref="B163:B165"/>
    <mergeCell ref="G163:H163"/>
    <mergeCell ref="I163:J163"/>
    <mergeCell ref="N163:N165"/>
    <mergeCell ref="G165:H165"/>
    <mergeCell ref="I165:J165"/>
    <mergeCell ref="G164:H164"/>
    <mergeCell ref="I164:J164"/>
    <mergeCell ref="B168:B170"/>
    <mergeCell ref="G168:H168"/>
    <mergeCell ref="I168:J168"/>
    <mergeCell ref="N168:N170"/>
    <mergeCell ref="G169:H169"/>
    <mergeCell ref="I169:J169"/>
    <mergeCell ref="G170:H170"/>
    <mergeCell ref="I170:J170"/>
    <mergeCell ref="B171:B172"/>
    <mergeCell ref="G171:H171"/>
    <mergeCell ref="I171:J171"/>
    <mergeCell ref="N171:N172"/>
    <mergeCell ref="G172:H172"/>
    <mergeCell ref="I172:J172"/>
    <mergeCell ref="B160:B162"/>
    <mergeCell ref="G160:H160"/>
    <mergeCell ref="I160:J160"/>
    <mergeCell ref="N160:N162"/>
    <mergeCell ref="G162:H162"/>
    <mergeCell ref="I162:J162"/>
    <mergeCell ref="G161:H161"/>
    <mergeCell ref="I161:J161"/>
    <mergeCell ref="K129:L129"/>
    <mergeCell ref="D129:E129"/>
    <mergeCell ref="C131:N131"/>
    <mergeCell ref="C132:C133"/>
    <mergeCell ref="D132:E133"/>
    <mergeCell ref="F132:F133"/>
    <mergeCell ref="D143:E143"/>
    <mergeCell ref="F143:G143"/>
    <mergeCell ref="G141:H141"/>
    <mergeCell ref="I141:J141"/>
    <mergeCell ref="G142:H142"/>
    <mergeCell ref="I142:J142"/>
    <mergeCell ref="G140:H140"/>
    <mergeCell ref="I140:J140"/>
    <mergeCell ref="K144:L144"/>
    <mergeCell ref="G135:H135"/>
    <mergeCell ref="K81:L85"/>
    <mergeCell ref="M81:M85"/>
    <mergeCell ref="N81:N85"/>
    <mergeCell ref="K125:L125"/>
    <mergeCell ref="J126:J128"/>
    <mergeCell ref="J86:J88"/>
    <mergeCell ref="K86:L88"/>
    <mergeCell ref="M86:M88"/>
    <mergeCell ref="N86:N88"/>
    <mergeCell ref="N96:N99"/>
    <mergeCell ref="I98:J98"/>
    <mergeCell ref="I99:J99"/>
    <mergeCell ref="I97:J97"/>
    <mergeCell ref="L94:M94"/>
    <mergeCell ref="N94:N95"/>
    <mergeCell ref="N100:N103"/>
    <mergeCell ref="J89:J91"/>
    <mergeCell ref="K89:L91"/>
    <mergeCell ref="M89:M91"/>
    <mergeCell ref="N89:N91"/>
    <mergeCell ref="I110:J110"/>
    <mergeCell ref="N8:N11"/>
    <mergeCell ref="N4:N7"/>
    <mergeCell ref="G13:H13"/>
    <mergeCell ref="G10:H10"/>
    <mergeCell ref="I10:J10"/>
    <mergeCell ref="G11:H11"/>
    <mergeCell ref="I11:J11"/>
    <mergeCell ref="N56:N59"/>
    <mergeCell ref="G4:H4"/>
    <mergeCell ref="I4:J4"/>
    <mergeCell ref="G8:H8"/>
    <mergeCell ref="I8:J8"/>
    <mergeCell ref="N40:N43"/>
    <mergeCell ref="N12:N15"/>
    <mergeCell ref="G5:H5"/>
    <mergeCell ref="I5:J5"/>
    <mergeCell ref="G6:H6"/>
    <mergeCell ref="I6:J6"/>
    <mergeCell ref="I44:J44"/>
    <mergeCell ref="N44:N49"/>
    <mergeCell ref="G45:H45"/>
    <mergeCell ref="I45:J45"/>
    <mergeCell ref="G46:H46"/>
    <mergeCell ref="I46:J46"/>
    <mergeCell ref="C1:N1"/>
    <mergeCell ref="C2:C3"/>
    <mergeCell ref="D2:E3"/>
    <mergeCell ref="F2:F3"/>
    <mergeCell ref="G2:H3"/>
    <mergeCell ref="I2:J3"/>
    <mergeCell ref="K2:K3"/>
    <mergeCell ref="L2:M2"/>
    <mergeCell ref="N2:N3"/>
    <mergeCell ref="N16:N21"/>
    <mergeCell ref="G17:H17"/>
    <mergeCell ref="I17:J17"/>
    <mergeCell ref="G18:H18"/>
    <mergeCell ref="I18:J18"/>
    <mergeCell ref="G19:H19"/>
    <mergeCell ref="I19:J19"/>
    <mergeCell ref="G20:H20"/>
    <mergeCell ref="I20:J20"/>
    <mergeCell ref="G21:H21"/>
    <mergeCell ref="I21:J21"/>
    <mergeCell ref="B44:B49"/>
    <mergeCell ref="G44:H44"/>
    <mergeCell ref="B8:B11"/>
    <mergeCell ref="B4:B7"/>
    <mergeCell ref="G12:H12"/>
    <mergeCell ref="I12:J12"/>
    <mergeCell ref="G7:H7"/>
    <mergeCell ref="I7:J7"/>
    <mergeCell ref="G9:H9"/>
    <mergeCell ref="I9:J9"/>
    <mergeCell ref="G43:H43"/>
    <mergeCell ref="G41:H41"/>
    <mergeCell ref="I41:J41"/>
    <mergeCell ref="G42:H42"/>
    <mergeCell ref="I43:J43"/>
    <mergeCell ref="G40:H40"/>
    <mergeCell ref="I40:J40"/>
    <mergeCell ref="I42:J42"/>
    <mergeCell ref="B40:B43"/>
    <mergeCell ref="B12:B15"/>
    <mergeCell ref="B16:B21"/>
    <mergeCell ref="B22:B27"/>
    <mergeCell ref="I22:J22"/>
    <mergeCell ref="B28:B33"/>
    <mergeCell ref="I13:J13"/>
    <mergeCell ref="G14:H14"/>
    <mergeCell ref="I14:J14"/>
    <mergeCell ref="G15:H15"/>
    <mergeCell ref="I15:J15"/>
    <mergeCell ref="G61:H61"/>
    <mergeCell ref="I61:J61"/>
    <mergeCell ref="G60:H60"/>
    <mergeCell ref="I60:J60"/>
    <mergeCell ref="G56:H56"/>
    <mergeCell ref="I56:J56"/>
    <mergeCell ref="G57:H57"/>
    <mergeCell ref="I57:J57"/>
    <mergeCell ref="G58:H58"/>
    <mergeCell ref="I58:J58"/>
    <mergeCell ref="G59:H59"/>
    <mergeCell ref="G28:H28"/>
    <mergeCell ref="I28:J28"/>
    <mergeCell ref="G16:H16"/>
    <mergeCell ref="I16:J16"/>
    <mergeCell ref="B56:B59"/>
    <mergeCell ref="I59:J59"/>
    <mergeCell ref="D76:E76"/>
    <mergeCell ref="F76:G76"/>
    <mergeCell ref="G64:H64"/>
    <mergeCell ref="I64:J64"/>
    <mergeCell ref="G66:H66"/>
    <mergeCell ref="I66:J66"/>
    <mergeCell ref="G139:H139"/>
    <mergeCell ref="I139:J139"/>
    <mergeCell ref="G137:H137"/>
    <mergeCell ref="I137:J137"/>
    <mergeCell ref="G134:H134"/>
    <mergeCell ref="I134:J134"/>
    <mergeCell ref="G136:H136"/>
    <mergeCell ref="I136:J136"/>
    <mergeCell ref="B96:B99"/>
    <mergeCell ref="G96:H96"/>
    <mergeCell ref="I96:J96"/>
    <mergeCell ref="B100:B103"/>
    <mergeCell ref="G100:H100"/>
    <mergeCell ref="I100:J100"/>
    <mergeCell ref="G101:H101"/>
    <mergeCell ref="I101:J101"/>
    <mergeCell ref="G102:H102"/>
    <mergeCell ref="I102:J102"/>
    <mergeCell ref="G103:H103"/>
    <mergeCell ref="I103:J103"/>
    <mergeCell ref="B112:B115"/>
    <mergeCell ref="G112:H112"/>
    <mergeCell ref="I112:J112"/>
    <mergeCell ref="N112:N115"/>
    <mergeCell ref="G113:H113"/>
    <mergeCell ref="I113:J113"/>
    <mergeCell ref="G114:H114"/>
    <mergeCell ref="I114:J114"/>
    <mergeCell ref="G115:H115"/>
    <mergeCell ref="I115:J115"/>
    <mergeCell ref="G111:H111"/>
    <mergeCell ref="B120:B123"/>
    <mergeCell ref="G120:H120"/>
    <mergeCell ref="I120:J120"/>
    <mergeCell ref="N120:N123"/>
    <mergeCell ref="G121:H121"/>
    <mergeCell ref="I121:J121"/>
    <mergeCell ref="G122:H122"/>
    <mergeCell ref="I122:J122"/>
    <mergeCell ref="G123:H123"/>
    <mergeCell ref="I123:J123"/>
    <mergeCell ref="J78:J80"/>
    <mergeCell ref="B50:B55"/>
    <mergeCell ref="G50:H50"/>
    <mergeCell ref="I50:J50"/>
    <mergeCell ref="N50:N55"/>
    <mergeCell ref="G51:H51"/>
    <mergeCell ref="I51:J51"/>
    <mergeCell ref="G52:H52"/>
    <mergeCell ref="I52:J52"/>
    <mergeCell ref="G55:H55"/>
    <mergeCell ref="I55:J55"/>
    <mergeCell ref="G54:H54"/>
    <mergeCell ref="I54:J54"/>
    <mergeCell ref="B62:B63"/>
    <mergeCell ref="B64:B65"/>
    <mergeCell ref="B66:B67"/>
    <mergeCell ref="B60:B61"/>
    <mergeCell ref="G63:H63"/>
    <mergeCell ref="I63:J63"/>
    <mergeCell ref="N78:N80"/>
    <mergeCell ref="M78:M80"/>
    <mergeCell ref="B68:B69"/>
    <mergeCell ref="G68:H68"/>
    <mergeCell ref="I68:J68"/>
    <mergeCell ref="O89:O91"/>
    <mergeCell ref="O78:O80"/>
    <mergeCell ref="K77:L77"/>
    <mergeCell ref="J81:J85"/>
    <mergeCell ref="G62:H62"/>
    <mergeCell ref="I62:J62"/>
    <mergeCell ref="N62:N63"/>
    <mergeCell ref="G47:H47"/>
    <mergeCell ref="I47:J47"/>
    <mergeCell ref="G53:H53"/>
    <mergeCell ref="I53:J53"/>
    <mergeCell ref="G48:H48"/>
    <mergeCell ref="I48:J48"/>
    <mergeCell ref="G49:H49"/>
    <mergeCell ref="I49:J49"/>
    <mergeCell ref="O81:O85"/>
    <mergeCell ref="N64:N65"/>
    <mergeCell ref="G65:H65"/>
    <mergeCell ref="I65:J65"/>
    <mergeCell ref="N60:N61"/>
    <mergeCell ref="N66:N67"/>
    <mergeCell ref="G67:H67"/>
    <mergeCell ref="I67:J67"/>
    <mergeCell ref="K78:L80"/>
  </mergeCells>
  <printOptions horizontalCentered="1"/>
  <pageMargins left="1.1811023622047245" right="0.39370078740157483" top="0.39370078740157483" bottom="0.39370078740157483" header="0.51181102362204722" footer="0.51181102362204722"/>
  <pageSetup paperSize="9" scale="120" firstPageNumber="0" fitToHeight="0" orientation="portrait" horizontalDpi="300" verticalDpi="300" r:id="rId1"/>
  <headerFooter alignWithMargins="0">
    <oddFooter>Strona &amp;P z &amp;N</oddFooter>
  </headerFooter>
  <rowBreaks count="3" manualBreakCount="3">
    <brk id="61" max="14" man="1"/>
    <brk id="119" max="14" man="1"/>
    <brk id="172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484"/>
  <sheetViews>
    <sheetView view="pageBreakPreview" topLeftCell="A458" zoomScale="130" zoomScaleNormal="110" zoomScaleSheetLayoutView="130" workbookViewId="0">
      <selection activeCell="M480" sqref="M480"/>
    </sheetView>
  </sheetViews>
  <sheetFormatPr defaultColWidth="14.5" defaultRowHeight="11.25"/>
  <cols>
    <col min="1" max="1" width="2.33203125" style="5" customWidth="1"/>
    <col min="2" max="2" width="5.6640625" style="8" bestFit="1" customWidth="1"/>
    <col min="3" max="3" width="3.6640625" style="8" bestFit="1" customWidth="1"/>
    <col min="4" max="4" width="7.1640625" style="9" bestFit="1" customWidth="1"/>
    <col min="5" max="5" width="8.6640625" style="10" bestFit="1" customWidth="1"/>
    <col min="6" max="6" width="3.5" style="10" bestFit="1" customWidth="1"/>
    <col min="7" max="7" width="6.5" style="4" bestFit="1" customWidth="1"/>
    <col min="8" max="8" width="3.1640625" style="4" bestFit="1" customWidth="1"/>
    <col min="9" max="9" width="3.5" style="4" bestFit="1" customWidth="1"/>
    <col min="10" max="10" width="8.5" style="4" bestFit="1" customWidth="1"/>
    <col min="11" max="11" width="6.6640625" style="11" bestFit="1" customWidth="1"/>
    <col min="12" max="12" width="7.6640625" style="11" bestFit="1" customWidth="1"/>
    <col min="13" max="13" width="29.83203125" style="4" customWidth="1"/>
    <col min="14" max="14" width="5.6640625" style="4" customWidth="1"/>
    <col min="15" max="245" width="13.83203125" style="4" customWidth="1"/>
    <col min="246" max="246" width="14.5" style="4"/>
    <col min="247" max="16384" width="14.5" style="5"/>
  </cols>
  <sheetData>
    <row r="1" spans="2:14">
      <c r="B1" s="184" t="s">
        <v>54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35"/>
    </row>
    <row r="2" spans="2:14">
      <c r="B2" s="185" t="s">
        <v>0</v>
      </c>
      <c r="C2" s="186" t="s">
        <v>1</v>
      </c>
      <c r="D2" s="186"/>
      <c r="E2" s="187" t="s">
        <v>2</v>
      </c>
      <c r="F2" s="187" t="s">
        <v>16</v>
      </c>
      <c r="G2" s="187"/>
      <c r="H2" s="188" t="s">
        <v>4</v>
      </c>
      <c r="I2" s="188"/>
      <c r="J2" s="189" t="s">
        <v>5</v>
      </c>
      <c r="K2" s="191" t="s">
        <v>123</v>
      </c>
      <c r="L2" s="191"/>
      <c r="M2" s="192" t="s">
        <v>14</v>
      </c>
      <c r="N2" s="135"/>
    </row>
    <row r="3" spans="2:14">
      <c r="B3" s="185"/>
      <c r="C3" s="186"/>
      <c r="D3" s="186"/>
      <c r="E3" s="187"/>
      <c r="F3" s="187"/>
      <c r="G3" s="187"/>
      <c r="H3" s="188"/>
      <c r="I3" s="188"/>
      <c r="J3" s="190"/>
      <c r="K3" s="21" t="s">
        <v>6</v>
      </c>
      <c r="L3" s="22" t="s">
        <v>7</v>
      </c>
      <c r="M3" s="192"/>
      <c r="N3" s="135"/>
    </row>
    <row r="4" spans="2:14" ht="11.25" customHeight="1">
      <c r="B4" s="31" t="s">
        <v>10</v>
      </c>
      <c r="C4" s="25" t="s">
        <v>13</v>
      </c>
      <c r="D4" s="12">
        <v>12</v>
      </c>
      <c r="E4" s="3">
        <f>VLOOKUP(D4,Dane!$A$1:$B$13,2)</f>
        <v>0.88800000000000001</v>
      </c>
      <c r="F4" s="158">
        <v>1811</v>
      </c>
      <c r="G4" s="158"/>
      <c r="H4" s="173">
        <v>4</v>
      </c>
      <c r="I4" s="174"/>
      <c r="J4" s="29" t="s">
        <v>18</v>
      </c>
      <c r="K4" s="14">
        <f t="shared" ref="K4:K8" si="0">IF(H4&lt;&gt;"",(E4*F4*0.01),"")</f>
        <v>16.081680000000002</v>
      </c>
      <c r="L4" s="26">
        <f t="shared" ref="L4:L8" si="1">IF(H4&lt;&gt;"",H4*K4,"")</f>
        <v>64.326720000000009</v>
      </c>
      <c r="M4" s="32" t="s">
        <v>22</v>
      </c>
      <c r="N4" s="135"/>
    </row>
    <row r="5" spans="2:14">
      <c r="B5" s="31" t="s">
        <v>11</v>
      </c>
      <c r="C5" s="25" t="s">
        <v>13</v>
      </c>
      <c r="D5" s="12">
        <v>6</v>
      </c>
      <c r="E5" s="3">
        <f>VLOOKUP(D5,Dane!$A$1:$B$13,2)</f>
        <v>0.222</v>
      </c>
      <c r="F5" s="158">
        <v>130</v>
      </c>
      <c r="G5" s="158"/>
      <c r="H5" s="159">
        <v>73</v>
      </c>
      <c r="I5" s="160"/>
      <c r="J5" s="29" t="s">
        <v>18</v>
      </c>
      <c r="K5" s="14">
        <f t="shared" si="0"/>
        <v>0.28860000000000002</v>
      </c>
      <c r="L5" s="24">
        <f t="shared" si="1"/>
        <v>21.067800000000002</v>
      </c>
      <c r="M5" s="33" t="s">
        <v>52</v>
      </c>
      <c r="N5" s="135"/>
    </row>
    <row r="6" spans="2:14">
      <c r="B6" s="31" t="s">
        <v>12</v>
      </c>
      <c r="C6" s="25" t="s">
        <v>13</v>
      </c>
      <c r="D6" s="12">
        <v>12</v>
      </c>
      <c r="E6" s="3">
        <f>VLOOKUP(D6,Dane!$A$1:$B$13,2)</f>
        <v>0.88800000000000001</v>
      </c>
      <c r="F6" s="158">
        <v>39000</v>
      </c>
      <c r="G6" s="158"/>
      <c r="H6" s="159">
        <v>4</v>
      </c>
      <c r="I6" s="160"/>
      <c r="J6" s="29" t="s">
        <v>18</v>
      </c>
      <c r="K6" s="14">
        <f t="shared" si="0"/>
        <v>346.32</v>
      </c>
      <c r="L6" s="24">
        <f t="shared" si="1"/>
        <v>1385.28</v>
      </c>
      <c r="M6" s="33" t="s">
        <v>22</v>
      </c>
      <c r="N6" s="135"/>
    </row>
    <row r="7" spans="2:14">
      <c r="B7" s="31" t="s">
        <v>26</v>
      </c>
      <c r="C7" s="25" t="s">
        <v>13</v>
      </c>
      <c r="D7" s="12">
        <v>6</v>
      </c>
      <c r="E7" s="3">
        <f>VLOOKUP(D7,Dane!$A$1:$B$13,2)</f>
        <v>0.222</v>
      </c>
      <c r="F7" s="158">
        <v>104</v>
      </c>
      <c r="G7" s="158"/>
      <c r="H7" s="159">
        <v>1562</v>
      </c>
      <c r="I7" s="160"/>
      <c r="J7" s="29" t="s">
        <v>18</v>
      </c>
      <c r="K7" s="14">
        <f t="shared" si="0"/>
        <v>0.23088</v>
      </c>
      <c r="L7" s="24">
        <f t="shared" si="1"/>
        <v>360.63456000000002</v>
      </c>
      <c r="M7" s="33" t="s">
        <v>183</v>
      </c>
      <c r="N7" s="135"/>
    </row>
    <row r="8" spans="2:14">
      <c r="B8" s="31" t="s">
        <v>50</v>
      </c>
      <c r="C8" s="25" t="s">
        <v>13</v>
      </c>
      <c r="D8" s="12">
        <v>12</v>
      </c>
      <c r="E8" s="3">
        <f>VLOOKUP(D8,Dane!$A$1:$B$13,2)</f>
        <v>0.88800000000000001</v>
      </c>
      <c r="F8" s="158">
        <v>720</v>
      </c>
      <c r="G8" s="158"/>
      <c r="H8" s="159">
        <v>4</v>
      </c>
      <c r="I8" s="160"/>
      <c r="J8" s="29" t="s">
        <v>18</v>
      </c>
      <c r="K8" s="14">
        <f t="shared" si="0"/>
        <v>6.3936000000000002</v>
      </c>
      <c r="L8" s="24">
        <f t="shared" si="1"/>
        <v>25.574400000000001</v>
      </c>
      <c r="M8" s="33" t="s">
        <v>22</v>
      </c>
      <c r="N8" s="135"/>
    </row>
    <row r="9" spans="2:14">
      <c r="B9" s="31" t="s">
        <v>51</v>
      </c>
      <c r="C9" s="25" t="s">
        <v>13</v>
      </c>
      <c r="D9" s="12">
        <v>6</v>
      </c>
      <c r="E9" s="3">
        <f>VLOOKUP(D9,Dane!$A$1:$B$13,2)</f>
        <v>0.222</v>
      </c>
      <c r="F9" s="158">
        <v>110</v>
      </c>
      <c r="G9" s="158"/>
      <c r="H9" s="159">
        <v>23</v>
      </c>
      <c r="I9" s="160"/>
      <c r="J9" s="29" t="s">
        <v>18</v>
      </c>
      <c r="K9" s="14">
        <f t="shared" ref="K9" si="2">IF(H9&lt;&gt;"",(E9*F9*0.01),"")</f>
        <v>0.24420000000000003</v>
      </c>
      <c r="L9" s="24">
        <f t="shared" ref="L9" si="3">IF(H9&lt;&gt;"",H9*K9,"")</f>
        <v>5.6166000000000009</v>
      </c>
      <c r="M9" s="237" t="s">
        <v>53</v>
      </c>
      <c r="N9" s="135"/>
    </row>
    <row r="10" spans="2:14">
      <c r="B10" s="34"/>
      <c r="C10" s="178" t="s">
        <v>1</v>
      </c>
      <c r="D10" s="178"/>
      <c r="E10" s="179" t="s">
        <v>8</v>
      </c>
      <c r="F10" s="179"/>
      <c r="G10" s="35" t="s">
        <v>15</v>
      </c>
      <c r="H10" s="36">
        <v>1</v>
      </c>
      <c r="I10" s="37"/>
      <c r="J10" s="38"/>
      <c r="K10" s="39"/>
      <c r="L10" s="39" t="str">
        <f>IF(SUM(L4:L9)=E13,"","BŁĄD")</f>
        <v/>
      </c>
      <c r="M10" s="38"/>
      <c r="N10" s="135"/>
    </row>
    <row r="11" spans="2:14">
      <c r="B11" s="6"/>
      <c r="C11" s="25" t="s">
        <v>13</v>
      </c>
      <c r="D11" s="12">
        <v>12</v>
      </c>
      <c r="E11" s="147">
        <f>IF(D11&lt;&gt;"",SUMIF(D4:D9,D11,L4:L9),"")</f>
        <v>1475.18112</v>
      </c>
      <c r="F11" s="7" t="str">
        <f>IF(E11&lt;&gt;"","kg","")</f>
        <v>kg</v>
      </c>
      <c r="G11" s="229">
        <f>E11*H10</f>
        <v>1475.18112</v>
      </c>
      <c r="H11" s="230"/>
      <c r="I11" s="16" t="s">
        <v>108</v>
      </c>
      <c r="N11" s="135"/>
    </row>
    <row r="12" spans="2:14">
      <c r="B12" s="6"/>
      <c r="C12" s="25" t="s">
        <v>13</v>
      </c>
      <c r="D12" s="12">
        <v>6</v>
      </c>
      <c r="E12" s="147">
        <f>IF(D12&lt;&gt;"",SUMIF(D4:D9,D12,L4:L9),"")</f>
        <v>387.31896</v>
      </c>
      <c r="F12" s="7" t="str">
        <f>IF(E12&lt;&gt;"","kg","")</f>
        <v>kg</v>
      </c>
      <c r="G12" s="229">
        <f>E12*H10</f>
        <v>387.31896</v>
      </c>
      <c r="H12" s="229"/>
      <c r="I12" s="16" t="s">
        <v>108</v>
      </c>
      <c r="N12" s="135"/>
    </row>
    <row r="13" spans="2:14">
      <c r="B13" s="6"/>
      <c r="C13" s="17"/>
      <c r="D13" s="18" t="s">
        <v>9</v>
      </c>
      <c r="E13" s="41">
        <f>SUM(E11:E12)</f>
        <v>1862.50008</v>
      </c>
      <c r="F13" s="19" t="s">
        <v>108</v>
      </c>
      <c r="G13" s="231">
        <f>SUM(G11:H12)</f>
        <v>1862.50008</v>
      </c>
      <c r="H13" s="231"/>
      <c r="I13" s="20" t="s">
        <v>108</v>
      </c>
      <c r="N13" s="135"/>
    </row>
    <row r="15" spans="2:14">
      <c r="B15" s="184" t="s">
        <v>55</v>
      </c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35"/>
    </row>
    <row r="16" spans="2:14">
      <c r="B16" s="185" t="s">
        <v>0</v>
      </c>
      <c r="C16" s="186" t="s">
        <v>1</v>
      </c>
      <c r="D16" s="186"/>
      <c r="E16" s="187" t="s">
        <v>2</v>
      </c>
      <c r="F16" s="187" t="s">
        <v>16</v>
      </c>
      <c r="G16" s="187"/>
      <c r="H16" s="188" t="s">
        <v>4</v>
      </c>
      <c r="I16" s="188"/>
      <c r="J16" s="189" t="s">
        <v>5</v>
      </c>
      <c r="K16" s="191" t="s">
        <v>123</v>
      </c>
      <c r="L16" s="191"/>
      <c r="M16" s="192" t="s">
        <v>14</v>
      </c>
      <c r="N16" s="135"/>
    </row>
    <row r="17" spans="2:14">
      <c r="B17" s="185"/>
      <c r="C17" s="186"/>
      <c r="D17" s="186"/>
      <c r="E17" s="187"/>
      <c r="F17" s="187"/>
      <c r="G17" s="187"/>
      <c r="H17" s="188"/>
      <c r="I17" s="188"/>
      <c r="J17" s="190"/>
      <c r="K17" s="21" t="s">
        <v>6</v>
      </c>
      <c r="L17" s="22" t="s">
        <v>7</v>
      </c>
      <c r="M17" s="192"/>
      <c r="N17" s="135"/>
    </row>
    <row r="18" spans="2:14">
      <c r="B18" s="31" t="s">
        <v>126</v>
      </c>
      <c r="C18" s="25" t="s">
        <v>13</v>
      </c>
      <c r="D18" s="12">
        <v>16</v>
      </c>
      <c r="E18" s="3">
        <f>VLOOKUP(D18,Dane!$A$1:$B$13,2)</f>
        <v>1.5780000000000001</v>
      </c>
      <c r="F18" s="158">
        <v>148</v>
      </c>
      <c r="G18" s="158"/>
      <c r="H18" s="173">
        <v>4</v>
      </c>
      <c r="I18" s="174"/>
      <c r="J18" s="29" t="s">
        <v>18</v>
      </c>
      <c r="K18" s="14">
        <f>IF(H18&lt;&gt;"",(E18*F18*0.01),"")</f>
        <v>2.3354400000000002</v>
      </c>
      <c r="L18" s="26">
        <f>IF(H18&lt;&gt;"",H18*K18,"")</f>
        <v>9.3417600000000007</v>
      </c>
      <c r="M18" s="32" t="s">
        <v>129</v>
      </c>
      <c r="N18" s="135"/>
    </row>
    <row r="19" spans="2:14">
      <c r="B19" s="31" t="s">
        <v>127</v>
      </c>
      <c r="C19" s="25" t="s">
        <v>13</v>
      </c>
      <c r="D19" s="12">
        <v>6</v>
      </c>
      <c r="E19" s="3">
        <f>VLOOKUP(D19,Dane!$A$1:$B$13,2)</f>
        <v>0.222</v>
      </c>
      <c r="F19" s="158">
        <v>88</v>
      </c>
      <c r="G19" s="158"/>
      <c r="H19" s="159">
        <v>4</v>
      </c>
      <c r="I19" s="160"/>
      <c r="J19" s="29" t="s">
        <v>18</v>
      </c>
      <c r="K19" s="14">
        <f>IF(H19&lt;&gt;"",(E19*F19*0.01),"")</f>
        <v>0.19536000000000001</v>
      </c>
      <c r="L19" s="24">
        <f>IF(H19&lt;&gt;"",H19*K19,"")</f>
        <v>0.78144000000000002</v>
      </c>
      <c r="M19" s="237" t="s">
        <v>48</v>
      </c>
      <c r="N19" s="135"/>
    </row>
    <row r="20" spans="2:14">
      <c r="B20" s="34"/>
      <c r="C20" s="178" t="s">
        <v>1</v>
      </c>
      <c r="D20" s="178"/>
      <c r="E20" s="179" t="s">
        <v>8</v>
      </c>
      <c r="F20" s="179"/>
      <c r="G20" s="35" t="s">
        <v>15</v>
      </c>
      <c r="H20" s="36">
        <v>54</v>
      </c>
      <c r="I20" s="37"/>
      <c r="J20" s="38"/>
      <c r="K20" s="39"/>
      <c r="L20" s="39" t="str">
        <f>IF(SUM(L18:L19)=E23,"","BŁĄD")</f>
        <v/>
      </c>
      <c r="M20" s="38"/>
      <c r="N20" s="135"/>
    </row>
    <row r="21" spans="2:14">
      <c r="B21" s="6"/>
      <c r="C21" s="25" t="s">
        <v>13</v>
      </c>
      <c r="D21" s="12">
        <v>16</v>
      </c>
      <c r="E21" s="143">
        <f>IF(D21&lt;&gt;"",SUMIF(D18:D19,D21,L18:L19),"")</f>
        <v>9.3417600000000007</v>
      </c>
      <c r="F21" s="7" t="str">
        <f>IF(E21&lt;&gt;"","kg","")</f>
        <v>kg</v>
      </c>
      <c r="G21" s="224">
        <f>E21*H20</f>
        <v>504.45504000000005</v>
      </c>
      <c r="H21" s="225"/>
      <c r="I21" s="16" t="s">
        <v>108</v>
      </c>
      <c r="N21" s="135"/>
    </row>
    <row r="22" spans="2:14">
      <c r="B22" s="6"/>
      <c r="C22" s="25" t="s">
        <v>13</v>
      </c>
      <c r="D22" s="12">
        <v>6</v>
      </c>
      <c r="E22" s="143">
        <f>IF(D22&lt;&gt;"",SUMIF(D18:D19,D22,L18:L19),"")</f>
        <v>0.78144000000000002</v>
      </c>
      <c r="F22" s="7" t="str">
        <f>IF(E22&lt;&gt;"","kg","")</f>
        <v>kg</v>
      </c>
      <c r="G22" s="224">
        <f>E22*H20</f>
        <v>42.197760000000002</v>
      </c>
      <c r="H22" s="224"/>
      <c r="I22" s="16" t="s">
        <v>108</v>
      </c>
      <c r="N22" s="135"/>
    </row>
    <row r="23" spans="2:14">
      <c r="B23" s="6"/>
      <c r="C23" s="17"/>
      <c r="D23" s="18" t="s">
        <v>9</v>
      </c>
      <c r="E23" s="13">
        <f>SUM(E21:E22)</f>
        <v>10.123200000000001</v>
      </c>
      <c r="F23" s="19" t="s">
        <v>108</v>
      </c>
      <c r="G23" s="226">
        <f>SUM(G21:H22)</f>
        <v>546.65280000000007</v>
      </c>
      <c r="H23" s="226"/>
      <c r="I23" s="20" t="s">
        <v>108</v>
      </c>
      <c r="N23" s="135"/>
    </row>
    <row r="24" spans="2:14">
      <c r="C24" s="43"/>
      <c r="D24" s="44"/>
      <c r="E24" s="148"/>
      <c r="F24" s="45"/>
      <c r="G24" s="46"/>
      <c r="H24" s="46"/>
      <c r="I24" s="47"/>
    </row>
    <row r="25" spans="2:14">
      <c r="B25" s="184" t="s">
        <v>196</v>
      </c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35"/>
    </row>
    <row r="26" spans="2:14">
      <c r="B26" s="185" t="s">
        <v>0</v>
      </c>
      <c r="C26" s="186" t="s">
        <v>1</v>
      </c>
      <c r="D26" s="186"/>
      <c r="E26" s="187" t="s">
        <v>2</v>
      </c>
      <c r="F26" s="187" t="s">
        <v>16</v>
      </c>
      <c r="G26" s="187"/>
      <c r="H26" s="188" t="s">
        <v>4</v>
      </c>
      <c r="I26" s="188"/>
      <c r="J26" s="189" t="s">
        <v>5</v>
      </c>
      <c r="K26" s="191" t="s">
        <v>123</v>
      </c>
      <c r="L26" s="191"/>
      <c r="M26" s="192" t="s">
        <v>14</v>
      </c>
      <c r="N26" s="135"/>
    </row>
    <row r="27" spans="2:14">
      <c r="B27" s="185"/>
      <c r="C27" s="186"/>
      <c r="D27" s="186"/>
      <c r="E27" s="187"/>
      <c r="F27" s="187"/>
      <c r="G27" s="187"/>
      <c r="H27" s="188"/>
      <c r="I27" s="188"/>
      <c r="J27" s="190"/>
      <c r="K27" s="21" t="s">
        <v>6</v>
      </c>
      <c r="L27" s="22" t="s">
        <v>7</v>
      </c>
      <c r="M27" s="192"/>
      <c r="N27" s="135"/>
    </row>
    <row r="28" spans="2:14">
      <c r="B28" s="31" t="s">
        <v>192</v>
      </c>
      <c r="C28" s="25" t="s">
        <v>13</v>
      </c>
      <c r="D28" s="12">
        <v>12</v>
      </c>
      <c r="E28" s="3">
        <f>VLOOKUP(D28,Dane!$A$1:$B$13,2)</f>
        <v>0.88800000000000001</v>
      </c>
      <c r="F28" s="158">
        <v>173</v>
      </c>
      <c r="G28" s="158"/>
      <c r="H28" s="173">
        <v>8</v>
      </c>
      <c r="I28" s="174"/>
      <c r="J28" s="29" t="s">
        <v>18</v>
      </c>
      <c r="K28" s="14">
        <f>IF(H28&lt;&gt;"",(E28*F28*0.01),"")</f>
        <v>1.53624</v>
      </c>
      <c r="L28" s="26">
        <f>IF(H28&lt;&gt;"",H28*K28,"")</f>
        <v>12.28992</v>
      </c>
      <c r="M28" s="238" t="s">
        <v>141</v>
      </c>
      <c r="N28" s="135"/>
    </row>
    <row r="29" spans="2:14">
      <c r="B29" s="34"/>
      <c r="C29" s="178" t="s">
        <v>1</v>
      </c>
      <c r="D29" s="178"/>
      <c r="E29" s="179" t="s">
        <v>8</v>
      </c>
      <c r="F29" s="179"/>
      <c r="G29" s="35" t="s">
        <v>15</v>
      </c>
      <c r="H29" s="36">
        <v>5</v>
      </c>
      <c r="I29" s="37"/>
      <c r="J29" s="38"/>
      <c r="K29" s="39"/>
      <c r="L29" s="39" t="str">
        <f>IF(SUM(L28:L28)=E31,"","BŁĄD")</f>
        <v/>
      </c>
      <c r="M29" s="38"/>
      <c r="N29" s="135"/>
    </row>
    <row r="30" spans="2:14">
      <c r="B30" s="6"/>
      <c r="C30" s="25" t="s">
        <v>13</v>
      </c>
      <c r="D30" s="12">
        <v>12</v>
      </c>
      <c r="E30" s="143">
        <f>IF(D30&lt;&gt;"",SUMIF(D28:D28,D30,L28:L28),"")</f>
        <v>12.28992</v>
      </c>
      <c r="F30" s="7" t="str">
        <f>IF(E30&lt;&gt;"","kg","")</f>
        <v>kg</v>
      </c>
      <c r="G30" s="224">
        <f>E30*H29</f>
        <v>61.449600000000004</v>
      </c>
      <c r="H30" s="224"/>
      <c r="I30" s="16" t="s">
        <v>108</v>
      </c>
      <c r="N30" s="135"/>
    </row>
    <row r="31" spans="2:14">
      <c r="B31" s="6"/>
      <c r="C31" s="17"/>
      <c r="D31" s="18" t="s">
        <v>9</v>
      </c>
      <c r="E31" s="13">
        <f>SUM(E30:E30)</f>
        <v>12.28992</v>
      </c>
      <c r="F31" s="19" t="s">
        <v>108</v>
      </c>
      <c r="G31" s="226">
        <f>SUM(G30:H30)</f>
        <v>61.449600000000004</v>
      </c>
      <c r="H31" s="226"/>
      <c r="I31" s="20" t="s">
        <v>108</v>
      </c>
      <c r="N31" s="135"/>
    </row>
    <row r="32" spans="2:14">
      <c r="C32" s="43"/>
      <c r="D32" s="44"/>
      <c r="E32" s="148"/>
      <c r="F32" s="45"/>
      <c r="G32" s="46"/>
      <c r="H32" s="46"/>
      <c r="I32" s="47"/>
    </row>
    <row r="33" spans="2:14">
      <c r="B33" s="184" t="s">
        <v>199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35"/>
    </row>
    <row r="34" spans="2:14">
      <c r="B34" s="185" t="s">
        <v>0</v>
      </c>
      <c r="C34" s="186" t="s">
        <v>1</v>
      </c>
      <c r="D34" s="186"/>
      <c r="E34" s="187" t="s">
        <v>2</v>
      </c>
      <c r="F34" s="187" t="s">
        <v>16</v>
      </c>
      <c r="G34" s="187"/>
      <c r="H34" s="188" t="s">
        <v>4</v>
      </c>
      <c r="I34" s="188"/>
      <c r="J34" s="189" t="s">
        <v>5</v>
      </c>
      <c r="K34" s="191" t="s">
        <v>123</v>
      </c>
      <c r="L34" s="191"/>
      <c r="M34" s="192" t="s">
        <v>14</v>
      </c>
      <c r="N34" s="135"/>
    </row>
    <row r="35" spans="2:14" ht="11.25" customHeight="1">
      <c r="B35" s="185"/>
      <c r="C35" s="186"/>
      <c r="D35" s="186"/>
      <c r="E35" s="187"/>
      <c r="F35" s="187"/>
      <c r="G35" s="187"/>
      <c r="H35" s="188"/>
      <c r="I35" s="188"/>
      <c r="J35" s="190"/>
      <c r="K35" s="21" t="s">
        <v>6</v>
      </c>
      <c r="L35" s="22" t="s">
        <v>7</v>
      </c>
      <c r="M35" s="192"/>
      <c r="N35" s="135"/>
    </row>
    <row r="36" spans="2:14">
      <c r="B36" s="31" t="s">
        <v>193</v>
      </c>
      <c r="C36" s="25" t="s">
        <v>13</v>
      </c>
      <c r="D36" s="12">
        <v>10</v>
      </c>
      <c r="E36" s="3">
        <f>VLOOKUP(D36,Dane!$A$1:$B$13,2)</f>
        <v>0.61699999999999999</v>
      </c>
      <c r="F36" s="158">
        <v>392</v>
      </c>
      <c r="G36" s="158"/>
      <c r="H36" s="173">
        <v>428</v>
      </c>
      <c r="I36" s="174"/>
      <c r="J36" s="29" t="s">
        <v>18</v>
      </c>
      <c r="K36" s="14">
        <f>IF(H36&lt;&gt;"",(E36*F36*0.01),"")</f>
        <v>2.4186399999999999</v>
      </c>
      <c r="L36" s="26">
        <f>IF(H36&lt;&gt;"",H36*K36,"")</f>
        <v>1035.1779199999999</v>
      </c>
      <c r="M36" s="32" t="s">
        <v>195</v>
      </c>
      <c r="N36" s="135"/>
    </row>
    <row r="37" spans="2:14">
      <c r="B37" s="31" t="s">
        <v>194</v>
      </c>
      <c r="C37" s="25" t="s">
        <v>13</v>
      </c>
      <c r="D37" s="12">
        <v>10</v>
      </c>
      <c r="E37" s="3">
        <f>VLOOKUP(D37,Dane!$A$1:$B$13,2)</f>
        <v>0.61699999999999999</v>
      </c>
      <c r="F37" s="158">
        <v>302</v>
      </c>
      <c r="G37" s="158"/>
      <c r="H37" s="159">
        <v>25</v>
      </c>
      <c r="I37" s="160"/>
      <c r="J37" s="29" t="s">
        <v>18</v>
      </c>
      <c r="K37" s="14">
        <f>IF(H37&lt;&gt;"",(E37*F37*0.01),"")</f>
        <v>1.86334</v>
      </c>
      <c r="L37" s="24">
        <f>IF(H37&lt;&gt;"",H37*K37,"")</f>
        <v>46.583500000000001</v>
      </c>
      <c r="M37" s="33" t="s">
        <v>198</v>
      </c>
      <c r="N37" s="135"/>
    </row>
    <row r="38" spans="2:14" ht="33.75">
      <c r="B38" s="31" t="s">
        <v>125</v>
      </c>
      <c r="C38" s="25" t="s">
        <v>13</v>
      </c>
      <c r="D38" s="12">
        <v>8</v>
      </c>
      <c r="E38" s="134">
        <f>VLOOKUP(D38,Dane!$A$1:$B$13,2)</f>
        <v>0.39500000000000002</v>
      </c>
      <c r="F38" s="158">
        <v>1200</v>
      </c>
      <c r="G38" s="158"/>
      <c r="H38" s="159">
        <v>147</v>
      </c>
      <c r="I38" s="160"/>
      <c r="J38" s="29" t="s">
        <v>18</v>
      </c>
      <c r="K38" s="14">
        <f>IF(H38&lt;&gt;"",(E38*F38*0.01),"")</f>
        <v>4.74</v>
      </c>
      <c r="L38" s="24">
        <f>IF(H38&lt;&gt;"",H38*K38,"")</f>
        <v>696.78000000000009</v>
      </c>
      <c r="M38" s="33" t="s">
        <v>197</v>
      </c>
      <c r="N38" s="135"/>
    </row>
    <row r="39" spans="2:14">
      <c r="B39" s="31" t="s">
        <v>186</v>
      </c>
      <c r="C39" s="25" t="s">
        <v>13</v>
      </c>
      <c r="D39" s="12">
        <v>6</v>
      </c>
      <c r="E39" s="3">
        <f>VLOOKUP(D39,Dane!$A$1:$B$13,2)</f>
        <v>0.222</v>
      </c>
      <c r="F39" s="158">
        <v>35</v>
      </c>
      <c r="G39" s="158"/>
      <c r="H39" s="159">
        <v>534</v>
      </c>
      <c r="I39" s="160"/>
      <c r="J39" s="29" t="s">
        <v>18</v>
      </c>
      <c r="K39" s="14">
        <f>IF(H39&lt;&gt;"",(E39*F39*0.01),"")</f>
        <v>7.7700000000000005E-2</v>
      </c>
      <c r="L39" s="24">
        <f>IF(H39&lt;&gt;"",H39*K39,"")</f>
        <v>41.491800000000005</v>
      </c>
      <c r="M39" s="237" t="s">
        <v>141</v>
      </c>
      <c r="N39" s="135"/>
    </row>
    <row r="40" spans="2:14">
      <c r="B40" s="34"/>
      <c r="C40" s="178" t="s">
        <v>1</v>
      </c>
      <c r="D40" s="178"/>
      <c r="E40" s="179" t="s">
        <v>8</v>
      </c>
      <c r="F40" s="179"/>
      <c r="G40" s="35" t="s">
        <v>15</v>
      </c>
      <c r="H40" s="36">
        <v>1</v>
      </c>
      <c r="I40" s="37"/>
      <c r="J40" s="38"/>
      <c r="K40" s="39"/>
      <c r="L40" s="39" t="str">
        <f>IF(SUM(L36:L39)=E44,"","BŁĄD")</f>
        <v/>
      </c>
      <c r="M40" s="38"/>
      <c r="N40" s="135"/>
    </row>
    <row r="41" spans="2:14">
      <c r="B41" s="6"/>
      <c r="C41" s="25" t="s">
        <v>13</v>
      </c>
      <c r="D41" s="12">
        <v>10</v>
      </c>
      <c r="E41" s="143">
        <f>IF(D41&lt;&gt;"",SUMIF(D36:D39,D41,L36:L39),"")</f>
        <v>1081.7614199999998</v>
      </c>
      <c r="F41" s="7" t="str">
        <f>IF(E41&lt;&gt;"","kg","")</f>
        <v>kg</v>
      </c>
      <c r="G41" s="224">
        <f>E41*H40</f>
        <v>1081.7614199999998</v>
      </c>
      <c r="H41" s="225"/>
      <c r="I41" s="16" t="s">
        <v>108</v>
      </c>
      <c r="N41" s="135"/>
    </row>
    <row r="42" spans="2:14">
      <c r="B42" s="6"/>
      <c r="C42" s="25" t="s">
        <v>13</v>
      </c>
      <c r="D42" s="12">
        <v>8</v>
      </c>
      <c r="E42" s="143">
        <f>IF(D42&lt;&gt;"",SUMIF(D36:D39,D42,L36:L39),"")</f>
        <v>696.78000000000009</v>
      </c>
      <c r="F42" s="7" t="str">
        <f>IF(E42&lt;&gt;"","kg","")</f>
        <v>kg</v>
      </c>
      <c r="G42" s="224">
        <f>E42*H40</f>
        <v>696.78000000000009</v>
      </c>
      <c r="H42" s="224"/>
      <c r="I42" s="16" t="s">
        <v>108</v>
      </c>
      <c r="N42" s="135"/>
    </row>
    <row r="43" spans="2:14">
      <c r="B43" s="6"/>
      <c r="C43" s="25" t="s">
        <v>13</v>
      </c>
      <c r="D43" s="12">
        <v>6</v>
      </c>
      <c r="E43" s="143">
        <f>IF(D43&lt;&gt;"",SUMIF(D36:D39,D43,L36:L39),"")</f>
        <v>41.491800000000005</v>
      </c>
      <c r="F43" s="7" t="str">
        <f>IF(E43&lt;&gt;"","kg","")</f>
        <v>kg</v>
      </c>
      <c r="G43" s="224">
        <f>E43*H40</f>
        <v>41.491800000000005</v>
      </c>
      <c r="H43" s="224"/>
      <c r="I43" s="16" t="s">
        <v>108</v>
      </c>
      <c r="N43" s="135"/>
    </row>
    <row r="44" spans="2:14">
      <c r="B44" s="6"/>
      <c r="C44" s="17"/>
      <c r="D44" s="18" t="s">
        <v>9</v>
      </c>
      <c r="E44" s="13">
        <f>SUM(E41:E43)</f>
        <v>1820.03322</v>
      </c>
      <c r="F44" s="19" t="s">
        <v>108</v>
      </c>
      <c r="G44" s="226">
        <f>SUM(G41:H43)</f>
        <v>1820.03322</v>
      </c>
      <c r="H44" s="226"/>
      <c r="I44" s="20" t="s">
        <v>108</v>
      </c>
      <c r="N44" s="135"/>
    </row>
    <row r="45" spans="2:14">
      <c r="C45" s="43"/>
      <c r="D45" s="44"/>
      <c r="E45" s="148"/>
      <c r="F45" s="45"/>
      <c r="G45" s="46"/>
      <c r="H45" s="46"/>
      <c r="I45" s="47"/>
    </row>
    <row r="46" spans="2:14" s="4" customFormat="1" ht="11.25" customHeight="1">
      <c r="B46" s="184" t="s">
        <v>57</v>
      </c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35"/>
    </row>
    <row r="47" spans="2:14" s="4" customFormat="1">
      <c r="B47" s="185" t="s">
        <v>0</v>
      </c>
      <c r="C47" s="186" t="s">
        <v>1</v>
      </c>
      <c r="D47" s="186"/>
      <c r="E47" s="187" t="s">
        <v>2</v>
      </c>
      <c r="F47" s="187" t="s">
        <v>16</v>
      </c>
      <c r="G47" s="187"/>
      <c r="H47" s="188" t="s">
        <v>4</v>
      </c>
      <c r="I47" s="188"/>
      <c r="J47" s="189" t="s">
        <v>5</v>
      </c>
      <c r="K47" s="191" t="s">
        <v>123</v>
      </c>
      <c r="L47" s="191"/>
      <c r="M47" s="192" t="s">
        <v>14</v>
      </c>
      <c r="N47" s="135"/>
    </row>
    <row r="48" spans="2:14" s="4" customFormat="1">
      <c r="B48" s="185"/>
      <c r="C48" s="186"/>
      <c r="D48" s="186"/>
      <c r="E48" s="187"/>
      <c r="F48" s="187"/>
      <c r="G48" s="187"/>
      <c r="H48" s="188"/>
      <c r="I48" s="188"/>
      <c r="J48" s="190"/>
      <c r="K48" s="21" t="s">
        <v>6</v>
      </c>
      <c r="L48" s="22" t="s">
        <v>7</v>
      </c>
      <c r="M48" s="192"/>
      <c r="N48" s="135"/>
    </row>
    <row r="49" spans="2:14" s="4" customFormat="1">
      <c r="B49" s="31" t="s">
        <v>19</v>
      </c>
      <c r="C49" s="25" t="s">
        <v>13</v>
      </c>
      <c r="D49" s="12">
        <v>10</v>
      </c>
      <c r="E49" s="3">
        <f>VLOOKUP(D49,Dane!$A$1:$B$13,2)</f>
        <v>0.61699999999999999</v>
      </c>
      <c r="F49" s="158">
        <v>74</v>
      </c>
      <c r="G49" s="158"/>
      <c r="H49" s="173">
        <v>8</v>
      </c>
      <c r="I49" s="174"/>
      <c r="J49" s="29" t="s">
        <v>18</v>
      </c>
      <c r="K49" s="14">
        <f>IF(H49&lt;&gt;"",(E49*F49*0.01),"")</f>
        <v>0.45658000000000004</v>
      </c>
      <c r="L49" s="26">
        <f>IF(H49&lt;&gt;"",H49*K49,"")</f>
        <v>3.6526400000000003</v>
      </c>
      <c r="M49" s="32" t="s">
        <v>22</v>
      </c>
      <c r="N49" s="135"/>
    </row>
    <row r="50" spans="2:14" s="4" customFormat="1">
      <c r="B50" s="31" t="s">
        <v>41</v>
      </c>
      <c r="C50" s="25" t="s">
        <v>13</v>
      </c>
      <c r="D50" s="12">
        <v>12</v>
      </c>
      <c r="E50" s="3">
        <f>VLOOKUP(D50,Dane!$A$1:$B$13,2)</f>
        <v>0.88800000000000001</v>
      </c>
      <c r="F50" s="158">
        <v>109</v>
      </c>
      <c r="G50" s="158"/>
      <c r="H50" s="159">
        <v>4</v>
      </c>
      <c r="I50" s="160"/>
      <c r="J50" s="29" t="s">
        <v>18</v>
      </c>
      <c r="K50" s="14">
        <f>IF(H50&lt;&gt;"",(E50*F50*0.01),"")</f>
        <v>0.96792</v>
      </c>
      <c r="L50" s="24">
        <f>IF(H50&lt;&gt;"",H50*K50,"")</f>
        <v>3.87168</v>
      </c>
      <c r="M50" s="33" t="s">
        <v>43</v>
      </c>
      <c r="N50" s="135"/>
    </row>
    <row r="51" spans="2:14" s="4" customFormat="1">
      <c r="B51" s="31" t="s">
        <v>42</v>
      </c>
      <c r="C51" s="25" t="s">
        <v>13</v>
      </c>
      <c r="D51" s="12">
        <v>6</v>
      </c>
      <c r="E51" s="3">
        <f>VLOOKUP(D51,Dane!$A$1:$B$13,2)</f>
        <v>0.222</v>
      </c>
      <c r="F51" s="158">
        <v>148</v>
      </c>
      <c r="G51" s="158"/>
      <c r="H51" s="159">
        <v>6</v>
      </c>
      <c r="I51" s="160"/>
      <c r="J51" s="29" t="s">
        <v>18</v>
      </c>
      <c r="K51" s="14">
        <f>IF(H51&lt;&gt;"",(E51*F51*0.01),"")</f>
        <v>0.32856000000000002</v>
      </c>
      <c r="L51" s="24">
        <f>IF(H51&lt;&gt;"",H51*K51,"")</f>
        <v>1.9713600000000002</v>
      </c>
      <c r="M51" s="237" t="s">
        <v>44</v>
      </c>
      <c r="N51" s="135"/>
    </row>
    <row r="52" spans="2:14" s="4" customFormat="1">
      <c r="B52" s="34"/>
      <c r="C52" s="178" t="s">
        <v>1</v>
      </c>
      <c r="D52" s="178"/>
      <c r="E52" s="179" t="s">
        <v>8</v>
      </c>
      <c r="F52" s="179"/>
      <c r="G52" s="35" t="s">
        <v>15</v>
      </c>
      <c r="H52" s="36">
        <v>2</v>
      </c>
      <c r="I52" s="37"/>
      <c r="J52" s="38"/>
      <c r="K52" s="39"/>
      <c r="L52" s="39" t="str">
        <f>IF(SUM(L49:L51)=E56,"","BŁĄD")</f>
        <v/>
      </c>
      <c r="M52" s="38"/>
      <c r="N52" s="135"/>
    </row>
    <row r="53" spans="2:14" s="4" customFormat="1">
      <c r="B53" s="6"/>
      <c r="C53" s="25" t="s">
        <v>13</v>
      </c>
      <c r="D53" s="12">
        <v>10</v>
      </c>
      <c r="E53" s="143">
        <f>IF(D53&lt;&gt;"",SUMIF(D49:D51,D53,L49:L51),"")</f>
        <v>3.6526400000000003</v>
      </c>
      <c r="F53" s="7" t="str">
        <f>IF(E53&lt;&gt;"","kg","")</f>
        <v>kg</v>
      </c>
      <c r="G53" s="224">
        <f>E53*H52</f>
        <v>7.3052800000000007</v>
      </c>
      <c r="H53" s="225"/>
      <c r="I53" s="16" t="s">
        <v>108</v>
      </c>
      <c r="K53" s="11"/>
      <c r="L53" s="11"/>
      <c r="N53" s="135"/>
    </row>
    <row r="54" spans="2:14" s="4" customFormat="1">
      <c r="B54" s="6"/>
      <c r="C54" s="25" t="s">
        <v>13</v>
      </c>
      <c r="D54" s="12">
        <v>12</v>
      </c>
      <c r="E54" s="143">
        <f>IF(D54&lt;&gt;"",SUMIF(D49:D51,D54,L49:L51),"")</f>
        <v>3.87168</v>
      </c>
      <c r="F54" s="7" t="str">
        <f>IF(E54&lt;&gt;"","kg","")</f>
        <v>kg</v>
      </c>
      <c r="G54" s="224">
        <f>E54*H52</f>
        <v>7.74336</v>
      </c>
      <c r="H54" s="224"/>
      <c r="I54" s="16" t="s">
        <v>108</v>
      </c>
      <c r="K54" s="11"/>
      <c r="L54" s="11"/>
      <c r="N54" s="135"/>
    </row>
    <row r="55" spans="2:14" s="4" customFormat="1">
      <c r="B55" s="6"/>
      <c r="C55" s="25" t="s">
        <v>13</v>
      </c>
      <c r="D55" s="12">
        <v>6</v>
      </c>
      <c r="E55" s="143">
        <f>IF(D55&lt;&gt;"",SUMIF(D49:D51,D55,L49:L51),"")</f>
        <v>1.9713600000000002</v>
      </c>
      <c r="F55" s="7" t="str">
        <f>IF(E55&lt;&gt;"","kg","")</f>
        <v>kg</v>
      </c>
      <c r="G55" s="224">
        <f>E55*H52</f>
        <v>3.9427200000000004</v>
      </c>
      <c r="H55" s="224"/>
      <c r="I55" s="16" t="s">
        <v>108</v>
      </c>
      <c r="K55" s="11"/>
      <c r="L55" s="11"/>
      <c r="N55" s="135"/>
    </row>
    <row r="56" spans="2:14" s="4" customFormat="1">
      <c r="B56" s="6"/>
      <c r="C56" s="17"/>
      <c r="D56" s="18" t="s">
        <v>9</v>
      </c>
      <c r="E56" s="13">
        <f>SUM(E53:E55)</f>
        <v>9.4956800000000001</v>
      </c>
      <c r="F56" s="19" t="s">
        <v>108</v>
      </c>
      <c r="G56" s="226">
        <f>SUM(G53:H55)</f>
        <v>18.99136</v>
      </c>
      <c r="H56" s="226"/>
      <c r="I56" s="20" t="s">
        <v>108</v>
      </c>
      <c r="K56" s="11"/>
      <c r="L56" s="11"/>
      <c r="N56" s="135"/>
    </row>
    <row r="58" spans="2:14">
      <c r="B58" s="184" t="s">
        <v>56</v>
      </c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35"/>
    </row>
    <row r="59" spans="2:14">
      <c r="B59" s="185" t="s">
        <v>0</v>
      </c>
      <c r="C59" s="186" t="s">
        <v>1</v>
      </c>
      <c r="D59" s="186"/>
      <c r="E59" s="187" t="s">
        <v>2</v>
      </c>
      <c r="F59" s="187" t="s">
        <v>16</v>
      </c>
      <c r="G59" s="187"/>
      <c r="H59" s="188" t="s">
        <v>4</v>
      </c>
      <c r="I59" s="188"/>
      <c r="J59" s="189" t="s">
        <v>5</v>
      </c>
      <c r="K59" s="191" t="s">
        <v>123</v>
      </c>
      <c r="L59" s="191"/>
      <c r="M59" s="192" t="s">
        <v>14</v>
      </c>
      <c r="N59" s="135"/>
    </row>
    <row r="60" spans="2:14">
      <c r="B60" s="185"/>
      <c r="C60" s="186"/>
      <c r="D60" s="186"/>
      <c r="E60" s="187"/>
      <c r="F60" s="187"/>
      <c r="G60" s="187"/>
      <c r="H60" s="188"/>
      <c r="I60" s="188"/>
      <c r="J60" s="190"/>
      <c r="K60" s="21" t="s">
        <v>6</v>
      </c>
      <c r="L60" s="22" t="s">
        <v>7</v>
      </c>
      <c r="M60" s="192"/>
      <c r="N60" s="135"/>
    </row>
    <row r="61" spans="2:14">
      <c r="B61" s="31" t="s">
        <v>45</v>
      </c>
      <c r="C61" s="25" t="s">
        <v>13</v>
      </c>
      <c r="D61" s="12">
        <v>10</v>
      </c>
      <c r="E61" s="3">
        <f>VLOOKUP(D61,Dane!$A$1:$B$13,2)</f>
        <v>0.61699999999999999</v>
      </c>
      <c r="F61" s="158">
        <v>74</v>
      </c>
      <c r="G61" s="158"/>
      <c r="H61" s="173">
        <v>8</v>
      </c>
      <c r="I61" s="174"/>
      <c r="J61" s="29" t="s">
        <v>18</v>
      </c>
      <c r="K61" s="14">
        <f>IF(H61&lt;&gt;"",(E61*F61*0.01),"")</f>
        <v>0.45658000000000004</v>
      </c>
      <c r="L61" s="26">
        <f>IF(H61&lt;&gt;"",H61*K61,"")</f>
        <v>3.6526400000000003</v>
      </c>
      <c r="M61" s="32" t="s">
        <v>22</v>
      </c>
      <c r="N61" s="135"/>
    </row>
    <row r="62" spans="2:14">
      <c r="B62" s="31" t="s">
        <v>46</v>
      </c>
      <c r="C62" s="25" t="s">
        <v>13</v>
      </c>
      <c r="D62" s="12">
        <v>16</v>
      </c>
      <c r="E62" s="3">
        <f>VLOOKUP(D62,Dane!$A$1:$B$13,2)</f>
        <v>1.5780000000000001</v>
      </c>
      <c r="F62" s="158">
        <v>148</v>
      </c>
      <c r="G62" s="158"/>
      <c r="H62" s="159">
        <v>4</v>
      </c>
      <c r="I62" s="160"/>
      <c r="J62" s="29" t="s">
        <v>18</v>
      </c>
      <c r="K62" s="14">
        <f>IF(H62&lt;&gt;"",(E62*F62*0.01),"")</f>
        <v>2.3354400000000002</v>
      </c>
      <c r="L62" s="24">
        <f>IF(H62&lt;&gt;"",H62*K62,"")</f>
        <v>9.3417600000000007</v>
      </c>
      <c r="M62" s="33" t="s">
        <v>49</v>
      </c>
      <c r="N62" s="135"/>
    </row>
    <row r="63" spans="2:14">
      <c r="B63" s="31" t="s">
        <v>47</v>
      </c>
      <c r="C63" s="25" t="s">
        <v>13</v>
      </c>
      <c r="D63" s="12">
        <v>6</v>
      </c>
      <c r="E63" s="3">
        <f>VLOOKUP(D63,Dane!$A$1:$B$13,2)</f>
        <v>0.222</v>
      </c>
      <c r="F63" s="158">
        <v>88</v>
      </c>
      <c r="G63" s="158"/>
      <c r="H63" s="159">
        <v>4</v>
      </c>
      <c r="I63" s="160"/>
      <c r="J63" s="29" t="s">
        <v>18</v>
      </c>
      <c r="K63" s="14">
        <f>IF(H63&lt;&gt;"",(E63*F63*0.01),"")</f>
        <v>0.19536000000000001</v>
      </c>
      <c r="L63" s="24">
        <f>IF(H63&lt;&gt;"",H63*K63,"")</f>
        <v>0.78144000000000002</v>
      </c>
      <c r="M63" s="237" t="s">
        <v>48</v>
      </c>
      <c r="N63" s="135"/>
    </row>
    <row r="64" spans="2:14">
      <c r="B64" s="34"/>
      <c r="C64" s="178" t="s">
        <v>1</v>
      </c>
      <c r="D64" s="178"/>
      <c r="E64" s="179" t="s">
        <v>8</v>
      </c>
      <c r="F64" s="179"/>
      <c r="G64" s="35" t="s">
        <v>15</v>
      </c>
      <c r="H64" s="36">
        <v>1</v>
      </c>
      <c r="I64" s="37"/>
      <c r="J64" s="38"/>
      <c r="K64" s="39"/>
      <c r="L64" s="39" t="str">
        <f>IF(SUM(L61:L63)=E68,"","BŁĄD")</f>
        <v/>
      </c>
      <c r="M64" s="38"/>
      <c r="N64" s="135"/>
    </row>
    <row r="65" spans="2:14">
      <c r="B65" s="6"/>
      <c r="C65" s="25" t="s">
        <v>13</v>
      </c>
      <c r="D65" s="12">
        <v>10</v>
      </c>
      <c r="E65" s="143">
        <f>IF(D65&lt;&gt;"",SUMIF(D61:D63,D65,L61:L63),"")</f>
        <v>3.6526400000000003</v>
      </c>
      <c r="F65" s="7" t="str">
        <f>IF(E65&lt;&gt;"","kg","")</f>
        <v>kg</v>
      </c>
      <c r="G65" s="224">
        <f>E65*H64</f>
        <v>3.6526400000000003</v>
      </c>
      <c r="H65" s="225"/>
      <c r="I65" s="16" t="s">
        <v>108</v>
      </c>
      <c r="N65" s="135"/>
    </row>
    <row r="66" spans="2:14">
      <c r="B66" s="6"/>
      <c r="C66" s="25" t="s">
        <v>13</v>
      </c>
      <c r="D66" s="12">
        <v>16</v>
      </c>
      <c r="E66" s="143">
        <f>IF(D66&lt;&gt;"",SUMIF(D61:D63,D66,L61:L63),"")</f>
        <v>9.3417600000000007</v>
      </c>
      <c r="F66" s="7" t="str">
        <f>IF(E66&lt;&gt;"","kg","")</f>
        <v>kg</v>
      </c>
      <c r="G66" s="224">
        <f>E66*H64</f>
        <v>9.3417600000000007</v>
      </c>
      <c r="H66" s="224"/>
      <c r="I66" s="16" t="s">
        <v>108</v>
      </c>
      <c r="N66" s="135"/>
    </row>
    <row r="67" spans="2:14">
      <c r="B67" s="6"/>
      <c r="C67" s="25" t="s">
        <v>13</v>
      </c>
      <c r="D67" s="12">
        <v>6</v>
      </c>
      <c r="E67" s="143">
        <f>IF(D67&lt;&gt;"",SUMIF(D61:D63,D67,L61:L63),"")</f>
        <v>0.78144000000000002</v>
      </c>
      <c r="F67" s="7" t="str">
        <f>IF(E67&lt;&gt;"","kg","")</f>
        <v>kg</v>
      </c>
      <c r="G67" s="224">
        <f>E67*H64</f>
        <v>0.78144000000000002</v>
      </c>
      <c r="H67" s="224"/>
      <c r="I67" s="16" t="s">
        <v>108</v>
      </c>
      <c r="N67" s="135"/>
    </row>
    <row r="68" spans="2:14">
      <c r="B68" s="6"/>
      <c r="C68" s="17"/>
      <c r="D68" s="18" t="s">
        <v>9</v>
      </c>
      <c r="E68" s="13">
        <f>SUM(E65:E67)</f>
        <v>13.775840000000001</v>
      </c>
      <c r="F68" s="19" t="s">
        <v>108</v>
      </c>
      <c r="G68" s="226">
        <f>SUM(G65:H67)</f>
        <v>13.775840000000001</v>
      </c>
      <c r="H68" s="226"/>
      <c r="I68" s="20" t="s">
        <v>108</v>
      </c>
      <c r="N68" s="135"/>
    </row>
    <row r="70" spans="2:14">
      <c r="B70" s="184" t="s">
        <v>58</v>
      </c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35"/>
    </row>
    <row r="71" spans="2:14">
      <c r="B71" s="185" t="s">
        <v>0</v>
      </c>
      <c r="C71" s="186" t="s">
        <v>1</v>
      </c>
      <c r="D71" s="186"/>
      <c r="E71" s="187" t="s">
        <v>2</v>
      </c>
      <c r="F71" s="187" t="s">
        <v>16</v>
      </c>
      <c r="G71" s="187"/>
      <c r="H71" s="188" t="s">
        <v>4</v>
      </c>
      <c r="I71" s="188"/>
      <c r="J71" s="189" t="s">
        <v>5</v>
      </c>
      <c r="K71" s="191" t="s">
        <v>123</v>
      </c>
      <c r="L71" s="191"/>
      <c r="M71" s="192" t="s">
        <v>14</v>
      </c>
      <c r="N71" s="135"/>
    </row>
    <row r="72" spans="2:14">
      <c r="B72" s="185"/>
      <c r="C72" s="186"/>
      <c r="D72" s="186"/>
      <c r="E72" s="187"/>
      <c r="F72" s="187"/>
      <c r="G72" s="187"/>
      <c r="H72" s="188"/>
      <c r="I72" s="188"/>
      <c r="J72" s="190"/>
      <c r="K72" s="21" t="s">
        <v>6</v>
      </c>
      <c r="L72" s="22" t="s">
        <v>7</v>
      </c>
      <c r="M72" s="192"/>
      <c r="N72" s="135"/>
    </row>
    <row r="73" spans="2:14">
      <c r="B73" s="31" t="s">
        <v>24</v>
      </c>
      <c r="C73" s="25" t="s">
        <v>13</v>
      </c>
      <c r="D73" s="12">
        <v>12</v>
      </c>
      <c r="E73" s="3">
        <f>VLOOKUP(D73,Dane!$A$1:$B$13,2)</f>
        <v>0.88800000000000001</v>
      </c>
      <c r="F73" s="158">
        <v>127</v>
      </c>
      <c r="G73" s="158"/>
      <c r="H73" s="173">
        <v>4</v>
      </c>
      <c r="I73" s="174"/>
      <c r="J73" s="29" t="s">
        <v>18</v>
      </c>
      <c r="K73" s="14">
        <f>IF(H73&lt;&gt;"",(E73*F73*0.01),"")</f>
        <v>1.1277600000000001</v>
      </c>
      <c r="L73" s="26">
        <f>IF(H73&lt;&gt;"",H73*K73,"")</f>
        <v>4.5110400000000004</v>
      </c>
      <c r="M73" s="33" t="s">
        <v>238</v>
      </c>
      <c r="N73" s="135"/>
    </row>
    <row r="74" spans="2:14">
      <c r="B74" s="31" t="s">
        <v>42</v>
      </c>
      <c r="C74" s="25" t="s">
        <v>13</v>
      </c>
      <c r="D74" s="12">
        <v>6</v>
      </c>
      <c r="E74" s="3">
        <f>VLOOKUP(D74,Dane!$A$1:$B$13,2)</f>
        <v>0.222</v>
      </c>
      <c r="F74" s="158">
        <v>148</v>
      </c>
      <c r="G74" s="158"/>
      <c r="H74" s="159">
        <v>4</v>
      </c>
      <c r="I74" s="160"/>
      <c r="J74" s="29" t="s">
        <v>18</v>
      </c>
      <c r="K74" s="14">
        <f>IF(H74&lt;&gt;"",(E74*F74*0.01),"")</f>
        <v>0.32856000000000002</v>
      </c>
      <c r="L74" s="24">
        <f>IF(H74&lt;&gt;"",H74*K74,"")</f>
        <v>1.3142400000000001</v>
      </c>
      <c r="M74" s="237" t="s">
        <v>44</v>
      </c>
      <c r="N74" s="135"/>
    </row>
    <row r="75" spans="2:14">
      <c r="B75" s="34"/>
      <c r="C75" s="178" t="s">
        <v>1</v>
      </c>
      <c r="D75" s="178"/>
      <c r="E75" s="179" t="s">
        <v>8</v>
      </c>
      <c r="F75" s="179"/>
      <c r="G75" s="35" t="s">
        <v>15</v>
      </c>
      <c r="H75" s="36">
        <v>12</v>
      </c>
      <c r="I75" s="37"/>
      <c r="J75" s="38"/>
      <c r="K75" s="39"/>
      <c r="L75" s="39" t="str">
        <f>IF(SUM(L73:L74)=E78,"","BŁĄD")</f>
        <v/>
      </c>
      <c r="M75" s="38"/>
      <c r="N75" s="135"/>
    </row>
    <row r="76" spans="2:14">
      <c r="B76" s="6"/>
      <c r="C76" s="25" t="s">
        <v>13</v>
      </c>
      <c r="D76" s="12">
        <v>12</v>
      </c>
      <c r="E76" s="143">
        <f>IF(D76&lt;&gt;"",SUMIF(D73:D74,D76,L73:L74),"")</f>
        <v>4.5110400000000004</v>
      </c>
      <c r="F76" s="7" t="str">
        <f>IF(E76&lt;&gt;"","kg","")</f>
        <v>kg</v>
      </c>
      <c r="G76" s="224">
        <f>E76*H75</f>
        <v>54.132480000000001</v>
      </c>
      <c r="H76" s="225"/>
      <c r="I76" s="16" t="s">
        <v>108</v>
      </c>
      <c r="N76" s="135"/>
    </row>
    <row r="77" spans="2:14">
      <c r="B77" s="6"/>
      <c r="C77" s="25" t="s">
        <v>13</v>
      </c>
      <c r="D77" s="12">
        <v>6</v>
      </c>
      <c r="E77" s="143">
        <f>IF(D77&lt;&gt;"",SUMIF(D73:D74,D77,L73:L74),"")</f>
        <v>1.3142400000000001</v>
      </c>
      <c r="F77" s="7" t="str">
        <f>IF(E77&lt;&gt;"","kg","")</f>
        <v>kg</v>
      </c>
      <c r="G77" s="224">
        <f>E77*H75</f>
        <v>15.770880000000002</v>
      </c>
      <c r="H77" s="224"/>
      <c r="I77" s="16" t="s">
        <v>108</v>
      </c>
      <c r="N77" s="135"/>
    </row>
    <row r="78" spans="2:14">
      <c r="B78" s="6"/>
      <c r="C78" s="17"/>
      <c r="D78" s="18" t="s">
        <v>9</v>
      </c>
      <c r="E78" s="13">
        <f>SUM(E76:E77)</f>
        <v>5.8252800000000002</v>
      </c>
      <c r="F78" s="19" t="s">
        <v>108</v>
      </c>
      <c r="G78" s="226">
        <f>SUM(G76:H77)</f>
        <v>69.903360000000006</v>
      </c>
      <c r="H78" s="226"/>
      <c r="I78" s="20" t="s">
        <v>108</v>
      </c>
      <c r="N78" s="135"/>
    </row>
    <row r="80" spans="2:14">
      <c r="B80" s="184" t="s">
        <v>241</v>
      </c>
      <c r="C80" s="184"/>
      <c r="D80" s="184"/>
      <c r="E80" s="184"/>
      <c r="F80" s="184"/>
      <c r="G80" s="184"/>
      <c r="H80" s="184"/>
      <c r="I80" s="184"/>
      <c r="J80" s="184"/>
      <c r="K80" s="184"/>
      <c r="L80" s="184"/>
      <c r="M80" s="184"/>
      <c r="N80" s="135"/>
    </row>
    <row r="81" spans="2:14">
      <c r="B81" s="185" t="s">
        <v>0</v>
      </c>
      <c r="C81" s="186" t="s">
        <v>1</v>
      </c>
      <c r="D81" s="186"/>
      <c r="E81" s="187" t="s">
        <v>2</v>
      </c>
      <c r="F81" s="187" t="s">
        <v>16</v>
      </c>
      <c r="G81" s="187"/>
      <c r="H81" s="188" t="s">
        <v>4</v>
      </c>
      <c r="I81" s="188"/>
      <c r="J81" s="189" t="s">
        <v>5</v>
      </c>
      <c r="K81" s="191" t="s">
        <v>123</v>
      </c>
      <c r="L81" s="191"/>
      <c r="M81" s="192" t="s">
        <v>14</v>
      </c>
      <c r="N81" s="135"/>
    </row>
    <row r="82" spans="2:14">
      <c r="B82" s="185"/>
      <c r="C82" s="186"/>
      <c r="D82" s="186"/>
      <c r="E82" s="187"/>
      <c r="F82" s="187"/>
      <c r="G82" s="187"/>
      <c r="H82" s="188"/>
      <c r="I82" s="188"/>
      <c r="J82" s="190"/>
      <c r="K82" s="21" t="s">
        <v>6</v>
      </c>
      <c r="L82" s="22" t="s">
        <v>7</v>
      </c>
      <c r="M82" s="192"/>
      <c r="N82" s="135"/>
    </row>
    <row r="83" spans="2:14">
      <c r="B83" s="31" t="s">
        <v>12</v>
      </c>
      <c r="C83" s="25" t="s">
        <v>13</v>
      </c>
      <c r="D83" s="12">
        <v>12</v>
      </c>
      <c r="E83" s="3">
        <f>VLOOKUP(D83,Dane!$A$1:$B$13,2)</f>
        <v>0.88800000000000001</v>
      </c>
      <c r="F83" s="158">
        <v>940</v>
      </c>
      <c r="G83" s="158"/>
      <c r="H83" s="173">
        <v>4</v>
      </c>
      <c r="I83" s="174"/>
      <c r="J83" s="29" t="s">
        <v>18</v>
      </c>
      <c r="K83" s="14">
        <f>IF(H83&lt;&gt;"",(E83*F83*0.01),"")</f>
        <v>8.3472000000000008</v>
      </c>
      <c r="L83" s="26">
        <f>IF(H83&lt;&gt;"",H83*K83,"")</f>
        <v>33.388800000000003</v>
      </c>
      <c r="M83" s="33" t="s">
        <v>184</v>
      </c>
      <c r="N83" s="135"/>
    </row>
    <row r="84" spans="2:14">
      <c r="B84" s="31" t="s">
        <v>26</v>
      </c>
      <c r="C84" s="25" t="s">
        <v>13</v>
      </c>
      <c r="D84" s="12">
        <v>6</v>
      </c>
      <c r="E84" s="3">
        <f>VLOOKUP(D84,Dane!$A$1:$B$13,2)</f>
        <v>0.222</v>
      </c>
      <c r="F84" s="158">
        <v>150</v>
      </c>
      <c r="G84" s="158"/>
      <c r="H84" s="159">
        <v>38</v>
      </c>
      <c r="I84" s="160"/>
      <c r="J84" s="29" t="s">
        <v>18</v>
      </c>
      <c r="K84" s="14">
        <f>IF(H84&lt;&gt;"",(E84*F84*0.01),"")</f>
        <v>0.33299999999999996</v>
      </c>
      <c r="L84" s="24">
        <f>IF(H84&lt;&gt;"",H84*K84,"")</f>
        <v>12.653999999999998</v>
      </c>
      <c r="M84" s="237" t="s">
        <v>242</v>
      </c>
      <c r="N84" s="135"/>
    </row>
    <row r="85" spans="2:14">
      <c r="B85" s="34"/>
      <c r="C85" s="178" t="s">
        <v>1</v>
      </c>
      <c r="D85" s="178"/>
      <c r="E85" s="179" t="s">
        <v>8</v>
      </c>
      <c r="F85" s="179"/>
      <c r="G85" s="35" t="s">
        <v>15</v>
      </c>
      <c r="H85" s="36">
        <v>1</v>
      </c>
      <c r="I85" s="37"/>
      <c r="J85" s="38"/>
      <c r="K85" s="39"/>
      <c r="L85" s="39" t="str">
        <f>IF(SUM(L83:L84)=E88,"","BŁĄD")</f>
        <v/>
      </c>
      <c r="M85" s="38"/>
      <c r="N85" s="135"/>
    </row>
    <row r="86" spans="2:14">
      <c r="B86" s="6"/>
      <c r="C86" s="25" t="s">
        <v>13</v>
      </c>
      <c r="D86" s="12">
        <v>12</v>
      </c>
      <c r="E86" s="143">
        <f>IF(D86&lt;&gt;"",SUMIF(D83:D84,D86,L83:L84),"")</f>
        <v>33.388800000000003</v>
      </c>
      <c r="F86" s="7" t="str">
        <f>IF(E86&lt;&gt;"","kg","")</f>
        <v>kg</v>
      </c>
      <c r="G86" s="224">
        <f>E86*H85</f>
        <v>33.388800000000003</v>
      </c>
      <c r="H86" s="225"/>
      <c r="I86" s="16" t="s">
        <v>108</v>
      </c>
      <c r="N86" s="135"/>
    </row>
    <row r="87" spans="2:14">
      <c r="B87" s="6"/>
      <c r="C87" s="25" t="s">
        <v>13</v>
      </c>
      <c r="D87" s="12">
        <v>6</v>
      </c>
      <c r="E87" s="143">
        <f>IF(D87&lt;&gt;"",SUMIF(D83:D84,D87,L83:L84),"")</f>
        <v>12.653999999999998</v>
      </c>
      <c r="F87" s="7" t="str">
        <f>IF(E87&lt;&gt;"","kg","")</f>
        <v>kg</v>
      </c>
      <c r="G87" s="224">
        <f>E87*H85</f>
        <v>12.653999999999998</v>
      </c>
      <c r="H87" s="224"/>
      <c r="I87" s="16" t="s">
        <v>108</v>
      </c>
      <c r="N87" s="135"/>
    </row>
    <row r="88" spans="2:14">
      <c r="B88" s="6"/>
      <c r="C88" s="17"/>
      <c r="D88" s="18" t="s">
        <v>9</v>
      </c>
      <c r="E88" s="13">
        <f>SUM(E86:E87)</f>
        <v>46.0428</v>
      </c>
      <c r="F88" s="19" t="s">
        <v>108</v>
      </c>
      <c r="G88" s="226">
        <f>SUM(G86:H87)</f>
        <v>46.0428</v>
      </c>
      <c r="H88" s="226"/>
      <c r="I88" s="20" t="s">
        <v>108</v>
      </c>
      <c r="N88" s="135"/>
    </row>
    <row r="90" spans="2:14">
      <c r="D90" s="48"/>
      <c r="E90" s="144"/>
      <c r="F90" s="49"/>
      <c r="G90" s="50"/>
      <c r="H90" s="50"/>
      <c r="I90" s="40"/>
    </row>
    <row r="91" spans="2:14">
      <c r="B91" s="184" t="s">
        <v>252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35"/>
    </row>
    <row r="92" spans="2:14">
      <c r="B92" s="185" t="s">
        <v>0</v>
      </c>
      <c r="C92" s="186" t="s">
        <v>1</v>
      </c>
      <c r="D92" s="186"/>
      <c r="E92" s="187" t="s">
        <v>2</v>
      </c>
      <c r="F92" s="187" t="s">
        <v>16</v>
      </c>
      <c r="G92" s="187"/>
      <c r="H92" s="188" t="s">
        <v>4</v>
      </c>
      <c r="I92" s="188"/>
      <c r="J92" s="189" t="s">
        <v>5</v>
      </c>
      <c r="K92" s="191" t="s">
        <v>123</v>
      </c>
      <c r="L92" s="191"/>
      <c r="M92" s="192" t="s">
        <v>14</v>
      </c>
      <c r="N92" s="135"/>
    </row>
    <row r="93" spans="2:14">
      <c r="B93" s="185"/>
      <c r="C93" s="186"/>
      <c r="D93" s="186"/>
      <c r="E93" s="187"/>
      <c r="F93" s="187"/>
      <c r="G93" s="187"/>
      <c r="H93" s="188"/>
      <c r="I93" s="188"/>
      <c r="J93" s="190"/>
      <c r="K93" s="21" t="s">
        <v>6</v>
      </c>
      <c r="L93" s="22" t="s">
        <v>7</v>
      </c>
      <c r="M93" s="192"/>
      <c r="N93" s="135"/>
    </row>
    <row r="94" spans="2:14">
      <c r="B94" s="31" t="s">
        <v>10</v>
      </c>
      <c r="C94" s="25" t="s">
        <v>13</v>
      </c>
      <c r="D94" s="12">
        <v>10</v>
      </c>
      <c r="E94" s="3">
        <f>VLOOKUP(D94,Dane!$A$1:$B$13,2)</f>
        <v>0.61699999999999999</v>
      </c>
      <c r="F94" s="158">
        <v>303</v>
      </c>
      <c r="G94" s="158"/>
      <c r="H94" s="173">
        <v>11</v>
      </c>
      <c r="I94" s="174"/>
      <c r="J94" s="29" t="s">
        <v>18</v>
      </c>
      <c r="K94" s="14">
        <f>IF(H94&lt;&gt;"",(E94*F94*0.01),"")</f>
        <v>1.86951</v>
      </c>
      <c r="L94" s="26">
        <f>IF(H94&lt;&gt;"",H94*K94,"")</f>
        <v>20.564610000000002</v>
      </c>
      <c r="M94" s="33" t="s">
        <v>184</v>
      </c>
      <c r="N94" s="135"/>
    </row>
    <row r="95" spans="2:14">
      <c r="B95" s="31" t="s">
        <v>11</v>
      </c>
      <c r="C95" s="25" t="s">
        <v>13</v>
      </c>
      <c r="D95" s="12">
        <v>10</v>
      </c>
      <c r="E95" s="3">
        <f>VLOOKUP(D95,Dane!$A$1:$B$13,2)</f>
        <v>0.61699999999999999</v>
      </c>
      <c r="F95" s="158">
        <v>387</v>
      </c>
      <c r="G95" s="158"/>
      <c r="H95" s="159">
        <v>11</v>
      </c>
      <c r="I95" s="160"/>
      <c r="J95" s="29" t="s">
        <v>18</v>
      </c>
      <c r="K95" s="14">
        <f t="shared" ref="K95:K96" si="4">IF(H95&lt;&gt;"",(E95*F95*0.01),"")</f>
        <v>2.3877899999999999</v>
      </c>
      <c r="L95" s="24">
        <f t="shared" ref="L95:L96" si="5">IF(H95&lt;&gt;"",H95*K95,"")</f>
        <v>26.265689999999999</v>
      </c>
      <c r="M95" s="33" t="s">
        <v>130</v>
      </c>
      <c r="N95" s="135"/>
    </row>
    <row r="96" spans="2:14">
      <c r="B96" s="31" t="s">
        <v>12</v>
      </c>
      <c r="C96" s="25" t="s">
        <v>13</v>
      </c>
      <c r="D96" s="12">
        <v>10</v>
      </c>
      <c r="E96" s="3">
        <f>VLOOKUP(D96,Dane!$A$1:$B$13,2)</f>
        <v>0.61699999999999999</v>
      </c>
      <c r="F96" s="158">
        <v>229</v>
      </c>
      <c r="G96" s="158"/>
      <c r="H96" s="159">
        <v>14</v>
      </c>
      <c r="I96" s="160"/>
      <c r="J96" s="29" t="s">
        <v>18</v>
      </c>
      <c r="K96" s="14">
        <f t="shared" si="4"/>
        <v>1.41293</v>
      </c>
      <c r="L96" s="24">
        <f t="shared" si="5"/>
        <v>19.781020000000002</v>
      </c>
      <c r="M96" s="33" t="s">
        <v>184</v>
      </c>
      <c r="N96" s="135"/>
    </row>
    <row r="97" spans="2:14">
      <c r="B97" s="31" t="s">
        <v>26</v>
      </c>
      <c r="C97" s="25" t="s">
        <v>13</v>
      </c>
      <c r="D97" s="12">
        <v>10</v>
      </c>
      <c r="E97" s="3">
        <f>VLOOKUP(D97,Dane!$A$1:$B$13,2)</f>
        <v>0.61699999999999999</v>
      </c>
      <c r="F97" s="158">
        <v>309</v>
      </c>
      <c r="G97" s="158"/>
      <c r="H97" s="159">
        <v>14</v>
      </c>
      <c r="I97" s="160"/>
      <c r="J97" s="29" t="s">
        <v>18</v>
      </c>
      <c r="K97" s="14">
        <f t="shared" ref="K97" si="6">IF(H97&lt;&gt;"",(E97*F97*0.01),"")</f>
        <v>1.9065300000000001</v>
      </c>
      <c r="L97" s="24">
        <f t="shared" ref="L97" si="7">IF(H97&lt;&gt;"",H97*K97,"")</f>
        <v>26.691420000000001</v>
      </c>
      <c r="M97" s="33" t="s">
        <v>130</v>
      </c>
      <c r="N97" s="135"/>
    </row>
    <row r="98" spans="2:14">
      <c r="B98" s="31" t="s">
        <v>50</v>
      </c>
      <c r="C98" s="25" t="s">
        <v>13</v>
      </c>
      <c r="D98" s="12">
        <v>8</v>
      </c>
      <c r="E98" s="3">
        <f>VLOOKUP(D98,Dane!$A$1:$B$13,2)</f>
        <v>0.39500000000000002</v>
      </c>
      <c r="F98" s="158">
        <v>284</v>
      </c>
      <c r="G98" s="158"/>
      <c r="H98" s="159">
        <v>22</v>
      </c>
      <c r="I98" s="160"/>
      <c r="J98" s="29" t="s">
        <v>18</v>
      </c>
      <c r="K98" s="14">
        <f t="shared" ref="K98" si="8">IF(H98&lt;&gt;"",(E98*F98*0.01),"")</f>
        <v>1.1218000000000001</v>
      </c>
      <c r="L98" s="24">
        <f t="shared" ref="L98" si="9">IF(H98&lt;&gt;"",H98*K98,"")</f>
        <v>24.679600000000004</v>
      </c>
      <c r="M98" s="33" t="s">
        <v>191</v>
      </c>
      <c r="N98" s="135"/>
    </row>
    <row r="99" spans="2:14">
      <c r="B99" s="31" t="s">
        <v>51</v>
      </c>
      <c r="C99" s="25" t="s">
        <v>13</v>
      </c>
      <c r="D99" s="12">
        <v>8</v>
      </c>
      <c r="E99" s="3">
        <f>VLOOKUP(D99,Dane!$A$1:$B$13,2)</f>
        <v>0.39500000000000002</v>
      </c>
      <c r="F99" s="158">
        <v>244</v>
      </c>
      <c r="G99" s="158"/>
      <c r="H99" s="159">
        <v>22</v>
      </c>
      <c r="I99" s="160"/>
      <c r="J99" s="29" t="s">
        <v>18</v>
      </c>
      <c r="K99" s="14">
        <f t="shared" ref="K99:K102" si="10">IF(H99&lt;&gt;"",(E99*F99*0.01),"")</f>
        <v>0.9638000000000001</v>
      </c>
      <c r="L99" s="24">
        <f t="shared" ref="L99:L102" si="11">IF(H99&lt;&gt;"",H99*K99,"")</f>
        <v>21.203600000000002</v>
      </c>
      <c r="M99" s="33" t="s">
        <v>184</v>
      </c>
      <c r="N99" s="135"/>
    </row>
    <row r="100" spans="2:14">
      <c r="B100" s="31" t="s">
        <v>70</v>
      </c>
      <c r="C100" s="25" t="s">
        <v>13</v>
      </c>
      <c r="D100" s="12">
        <v>8</v>
      </c>
      <c r="E100" s="3">
        <f>VLOOKUP(D100,Dane!$A$1:$B$13,2)</f>
        <v>0.39500000000000002</v>
      </c>
      <c r="F100" s="158">
        <v>295</v>
      </c>
      <c r="G100" s="158"/>
      <c r="H100" s="159">
        <v>22</v>
      </c>
      <c r="I100" s="160"/>
      <c r="J100" s="29" t="s">
        <v>18</v>
      </c>
      <c r="K100" s="14">
        <f t="shared" si="10"/>
        <v>1.1652500000000001</v>
      </c>
      <c r="L100" s="24">
        <f t="shared" si="11"/>
        <v>25.635500000000004</v>
      </c>
      <c r="M100" s="33" t="s">
        <v>190</v>
      </c>
      <c r="N100" s="135"/>
    </row>
    <row r="101" spans="2:14">
      <c r="B101" s="31" t="s">
        <v>125</v>
      </c>
      <c r="C101" s="25" t="s">
        <v>13</v>
      </c>
      <c r="D101" s="12">
        <v>8</v>
      </c>
      <c r="E101" s="3">
        <f>VLOOKUP(D101,Dane!$A$1:$B$13,2)</f>
        <v>0.39500000000000002</v>
      </c>
      <c r="F101" s="158">
        <v>275</v>
      </c>
      <c r="G101" s="158"/>
      <c r="H101" s="159">
        <v>22</v>
      </c>
      <c r="I101" s="160"/>
      <c r="J101" s="29" t="s">
        <v>18</v>
      </c>
      <c r="K101" s="14">
        <f t="shared" si="10"/>
        <v>1.0862499999999999</v>
      </c>
      <c r="L101" s="24">
        <f t="shared" si="11"/>
        <v>23.897499999999997</v>
      </c>
      <c r="M101" s="33" t="s">
        <v>189</v>
      </c>
      <c r="N101" s="135"/>
    </row>
    <row r="102" spans="2:14" ht="22.5">
      <c r="B102" s="31" t="s">
        <v>185</v>
      </c>
      <c r="C102" s="25" t="s">
        <v>13</v>
      </c>
      <c r="D102" s="12">
        <v>10</v>
      </c>
      <c r="E102" s="3">
        <f>VLOOKUP(D102,Dane!$A$1:$B$13,2)</f>
        <v>0.61699999999999999</v>
      </c>
      <c r="F102" s="158">
        <v>252</v>
      </c>
      <c r="G102" s="158"/>
      <c r="H102" s="159">
        <v>84</v>
      </c>
      <c r="I102" s="160"/>
      <c r="J102" s="29" t="s">
        <v>18</v>
      </c>
      <c r="K102" s="14">
        <f t="shared" si="10"/>
        <v>1.5548400000000002</v>
      </c>
      <c r="L102" s="24">
        <f t="shared" si="11"/>
        <v>130.60656000000003</v>
      </c>
      <c r="M102" s="33" t="s">
        <v>188</v>
      </c>
      <c r="N102" s="135"/>
    </row>
    <row r="103" spans="2:14">
      <c r="B103" s="31" t="s">
        <v>186</v>
      </c>
      <c r="C103" s="25" t="s">
        <v>13</v>
      </c>
      <c r="D103" s="12">
        <v>6</v>
      </c>
      <c r="E103" s="3">
        <f>VLOOKUP(D103,Dane!$A$1:$B$13,2)</f>
        <v>0.222</v>
      </c>
      <c r="F103" s="158">
        <v>35</v>
      </c>
      <c r="G103" s="158"/>
      <c r="H103" s="159">
        <v>40</v>
      </c>
      <c r="I103" s="160"/>
      <c r="J103" s="29" t="s">
        <v>18</v>
      </c>
      <c r="K103" s="14">
        <f>IF(H103&lt;&gt;"",(E103*F103*0.01),"")</f>
        <v>7.7700000000000005E-2</v>
      </c>
      <c r="L103" s="24">
        <f>IF(H103&lt;&gt;"",H103*K103,"")</f>
        <v>3.1080000000000001</v>
      </c>
      <c r="M103" s="237" t="s">
        <v>187</v>
      </c>
      <c r="N103" s="135"/>
    </row>
    <row r="104" spans="2:14">
      <c r="B104" s="34"/>
      <c r="C104" s="178" t="s">
        <v>1</v>
      </c>
      <c r="D104" s="178"/>
      <c r="E104" s="179" t="s">
        <v>8</v>
      </c>
      <c r="F104" s="179"/>
      <c r="G104" s="35" t="s">
        <v>15</v>
      </c>
      <c r="H104" s="36">
        <v>1</v>
      </c>
      <c r="I104" s="37"/>
      <c r="J104" s="38"/>
      <c r="K104" s="39"/>
      <c r="L104" s="39" t="str">
        <f>IF(SUM(L94:L103)=E108,"","BŁĄD")</f>
        <v/>
      </c>
      <c r="M104" s="38"/>
      <c r="N104" s="135"/>
    </row>
    <row r="105" spans="2:14">
      <c r="B105" s="6"/>
      <c r="C105" s="25" t="s">
        <v>13</v>
      </c>
      <c r="D105" s="12">
        <v>10</v>
      </c>
      <c r="E105" s="143">
        <f>IF(D105&lt;&gt;"",SUMIF(D94:D103,D105,L94:L103),"")</f>
        <v>223.90930000000003</v>
      </c>
      <c r="F105" s="7" t="str">
        <f>IF(E105&lt;&gt;"","kg","")</f>
        <v>kg</v>
      </c>
      <c r="G105" s="224">
        <f>E105*H104</f>
        <v>223.90930000000003</v>
      </c>
      <c r="H105" s="225"/>
      <c r="I105" s="16" t="s">
        <v>108</v>
      </c>
      <c r="N105" s="135"/>
    </row>
    <row r="106" spans="2:14">
      <c r="B106" s="6"/>
      <c r="C106" s="25" t="s">
        <v>13</v>
      </c>
      <c r="D106" s="12">
        <v>8</v>
      </c>
      <c r="E106" s="143">
        <f>IF(D106&lt;&gt;"",SUMIF(D94:D103,D106,L94:L103),"")</f>
        <v>95.416200000000003</v>
      </c>
      <c r="F106" s="7" t="str">
        <f>IF(E106&lt;&gt;"","kg","")</f>
        <v>kg</v>
      </c>
      <c r="G106" s="224">
        <f>E106*H104</f>
        <v>95.416200000000003</v>
      </c>
      <c r="H106" s="225"/>
      <c r="I106" s="16" t="s">
        <v>108</v>
      </c>
      <c r="N106" s="135"/>
    </row>
    <row r="107" spans="2:14">
      <c r="B107" s="6"/>
      <c r="C107" s="25" t="s">
        <v>13</v>
      </c>
      <c r="D107" s="12">
        <v>6</v>
      </c>
      <c r="E107" s="143">
        <f>IF(D107&lt;&gt;"",SUMIF(D94:D103,D107,L94:L103),"")</f>
        <v>3.1080000000000001</v>
      </c>
      <c r="F107" s="7" t="str">
        <f>IF(E107&lt;&gt;"","kg","")</f>
        <v>kg</v>
      </c>
      <c r="G107" s="224">
        <f>E107*H104</f>
        <v>3.1080000000000001</v>
      </c>
      <c r="H107" s="225"/>
      <c r="I107" s="16" t="s">
        <v>108</v>
      </c>
      <c r="N107" s="135"/>
    </row>
    <row r="108" spans="2:14">
      <c r="B108" s="6"/>
      <c r="C108" s="17"/>
      <c r="D108" s="18" t="s">
        <v>9</v>
      </c>
      <c r="E108" s="13">
        <f>SUM(E105:E107)</f>
        <v>322.43350000000004</v>
      </c>
      <c r="F108" s="19" t="s">
        <v>108</v>
      </c>
      <c r="G108" s="226">
        <f>SUM(G105:H107)</f>
        <v>322.43350000000004</v>
      </c>
      <c r="H108" s="226"/>
      <c r="I108" s="20" t="s">
        <v>108</v>
      </c>
      <c r="N108" s="135"/>
    </row>
    <row r="109" spans="2:14">
      <c r="D109" s="48"/>
      <c r="E109" s="144"/>
      <c r="F109" s="49"/>
      <c r="G109" s="50"/>
      <c r="H109" s="50"/>
      <c r="I109" s="40"/>
      <c r="N109" s="135"/>
    </row>
    <row r="110" spans="2:14">
      <c r="B110" s="184" t="s">
        <v>254</v>
      </c>
      <c r="C110" s="184"/>
      <c r="D110" s="184"/>
      <c r="E110" s="184"/>
      <c r="F110" s="184"/>
      <c r="G110" s="184"/>
      <c r="H110" s="184"/>
      <c r="I110" s="184"/>
      <c r="J110" s="184"/>
      <c r="K110" s="184"/>
      <c r="L110" s="184"/>
      <c r="M110" s="184"/>
      <c r="N110" s="135"/>
    </row>
    <row r="111" spans="2:14">
      <c r="B111" s="185" t="s">
        <v>0</v>
      </c>
      <c r="C111" s="186" t="s">
        <v>1</v>
      </c>
      <c r="D111" s="186"/>
      <c r="E111" s="187" t="s">
        <v>2</v>
      </c>
      <c r="F111" s="187" t="s">
        <v>16</v>
      </c>
      <c r="G111" s="187"/>
      <c r="H111" s="188" t="s">
        <v>4</v>
      </c>
      <c r="I111" s="188"/>
      <c r="J111" s="189" t="s">
        <v>5</v>
      </c>
      <c r="K111" s="191" t="s">
        <v>123</v>
      </c>
      <c r="L111" s="191"/>
      <c r="M111" s="192" t="s">
        <v>14</v>
      </c>
      <c r="N111" s="135"/>
    </row>
    <row r="112" spans="2:14">
      <c r="B112" s="185"/>
      <c r="C112" s="186"/>
      <c r="D112" s="186"/>
      <c r="E112" s="187"/>
      <c r="F112" s="187"/>
      <c r="G112" s="187"/>
      <c r="H112" s="188"/>
      <c r="I112" s="188"/>
      <c r="J112" s="190"/>
      <c r="K112" s="21" t="s">
        <v>6</v>
      </c>
      <c r="L112" s="22" t="s">
        <v>7</v>
      </c>
      <c r="M112" s="192"/>
      <c r="N112" s="135"/>
    </row>
    <row r="113" spans="2:14">
      <c r="B113" s="31" t="s">
        <v>10</v>
      </c>
      <c r="C113" s="25" t="s">
        <v>13</v>
      </c>
      <c r="D113" s="12">
        <v>10</v>
      </c>
      <c r="E113" s="3">
        <f>VLOOKUP(D113,Dane!$A$1:$B$13,2)</f>
        <v>0.61699999999999999</v>
      </c>
      <c r="F113" s="158">
        <v>147</v>
      </c>
      <c r="G113" s="158"/>
      <c r="H113" s="173">
        <v>9</v>
      </c>
      <c r="I113" s="174"/>
      <c r="J113" s="29" t="s">
        <v>18</v>
      </c>
      <c r="K113" s="14">
        <f>IF(H113&lt;&gt;"",(E113*F113*0.01),"")</f>
        <v>0.90698999999999996</v>
      </c>
      <c r="L113" s="26">
        <f>IF(H113&lt;&gt;"",H113*K113,"")</f>
        <v>8.1629100000000001</v>
      </c>
      <c r="M113" s="33" t="s">
        <v>184</v>
      </c>
      <c r="N113" s="135"/>
    </row>
    <row r="114" spans="2:14">
      <c r="B114" s="31" t="s">
        <v>11</v>
      </c>
      <c r="C114" s="25" t="s">
        <v>13</v>
      </c>
      <c r="D114" s="12">
        <v>10</v>
      </c>
      <c r="E114" s="3">
        <f>VLOOKUP(D114,Dane!$A$1:$B$13,2)</f>
        <v>0.61699999999999999</v>
      </c>
      <c r="F114" s="158">
        <v>251</v>
      </c>
      <c r="G114" s="158"/>
      <c r="H114" s="159">
        <v>9</v>
      </c>
      <c r="I114" s="160"/>
      <c r="J114" s="29" t="s">
        <v>18</v>
      </c>
      <c r="K114" s="14">
        <f t="shared" ref="K114:K116" si="12">IF(H114&lt;&gt;"",(E114*F114*0.01),"")</f>
        <v>1.54867</v>
      </c>
      <c r="L114" s="24">
        <f t="shared" ref="L114:L116" si="13">IF(H114&lt;&gt;"",H114*K114,"")</f>
        <v>13.938029999999999</v>
      </c>
      <c r="M114" s="33" t="s">
        <v>130</v>
      </c>
      <c r="N114" s="135"/>
    </row>
    <row r="115" spans="2:14">
      <c r="B115" s="31" t="s">
        <v>12</v>
      </c>
      <c r="C115" s="25" t="s">
        <v>13</v>
      </c>
      <c r="D115" s="12">
        <v>10</v>
      </c>
      <c r="E115" s="3">
        <f>VLOOKUP(D115,Dane!$A$1:$B$13,2)</f>
        <v>0.61699999999999999</v>
      </c>
      <c r="F115" s="158">
        <v>160</v>
      </c>
      <c r="G115" s="158"/>
      <c r="H115" s="159">
        <v>8</v>
      </c>
      <c r="I115" s="160"/>
      <c r="J115" s="29" t="s">
        <v>18</v>
      </c>
      <c r="K115" s="14">
        <f t="shared" si="12"/>
        <v>0.98719999999999997</v>
      </c>
      <c r="L115" s="24">
        <f t="shared" si="13"/>
        <v>7.8975999999999997</v>
      </c>
      <c r="M115" s="33" t="s">
        <v>184</v>
      </c>
      <c r="N115" s="135"/>
    </row>
    <row r="116" spans="2:14">
      <c r="B116" s="31" t="s">
        <v>26</v>
      </c>
      <c r="C116" s="25" t="s">
        <v>13</v>
      </c>
      <c r="D116" s="12">
        <v>10</v>
      </c>
      <c r="E116" s="3">
        <f>VLOOKUP(D116,Dane!$A$1:$B$13,2)</f>
        <v>0.61699999999999999</v>
      </c>
      <c r="F116" s="158">
        <v>260</v>
      </c>
      <c r="G116" s="158"/>
      <c r="H116" s="159">
        <v>8</v>
      </c>
      <c r="I116" s="160"/>
      <c r="J116" s="29" t="s">
        <v>18</v>
      </c>
      <c r="K116" s="14">
        <f t="shared" si="12"/>
        <v>1.6041999999999998</v>
      </c>
      <c r="L116" s="24">
        <f t="shared" si="13"/>
        <v>12.833599999999999</v>
      </c>
      <c r="M116" s="237" t="s">
        <v>130</v>
      </c>
      <c r="N116" s="135"/>
    </row>
    <row r="117" spans="2:14">
      <c r="B117" s="34"/>
      <c r="C117" s="178" t="s">
        <v>1</v>
      </c>
      <c r="D117" s="178"/>
      <c r="E117" s="179" t="s">
        <v>8</v>
      </c>
      <c r="F117" s="179"/>
      <c r="G117" s="35" t="s">
        <v>15</v>
      </c>
      <c r="H117" s="36">
        <v>1</v>
      </c>
      <c r="I117" s="37"/>
      <c r="J117" s="38"/>
      <c r="K117" s="39"/>
      <c r="L117" s="39" t="str">
        <f>IF(SUM(L113:L116)=E119,"","BŁĄD")</f>
        <v/>
      </c>
      <c r="M117" s="38"/>
      <c r="N117" s="135"/>
    </row>
    <row r="118" spans="2:14">
      <c r="B118" s="6"/>
      <c r="C118" s="25" t="s">
        <v>13</v>
      </c>
      <c r="D118" s="12">
        <v>10</v>
      </c>
      <c r="E118" s="143">
        <f>IF(D118&lt;&gt;"",SUMIF(D113:D116,D118,L113:L116),"")</f>
        <v>42.832140000000003</v>
      </c>
      <c r="F118" s="7" t="str">
        <f>IF(E118&lt;&gt;"","kg","")</f>
        <v>kg</v>
      </c>
      <c r="G118" s="224">
        <f>E118*H117</f>
        <v>42.832140000000003</v>
      </c>
      <c r="H118" s="225"/>
      <c r="I118" s="16" t="s">
        <v>108</v>
      </c>
      <c r="N118" s="135"/>
    </row>
    <row r="119" spans="2:14">
      <c r="B119" s="6"/>
      <c r="C119" s="17"/>
      <c r="D119" s="18" t="s">
        <v>9</v>
      </c>
      <c r="E119" s="13">
        <f>SUM(E118:E118)</f>
        <v>42.832140000000003</v>
      </c>
      <c r="F119" s="19" t="s">
        <v>108</v>
      </c>
      <c r="G119" s="226">
        <f>G118</f>
        <v>42.832140000000003</v>
      </c>
      <c r="H119" s="226"/>
      <c r="I119" s="20" t="s">
        <v>108</v>
      </c>
      <c r="N119" s="135"/>
    </row>
    <row r="120" spans="2:14">
      <c r="D120" s="48"/>
      <c r="E120" s="144"/>
      <c r="F120" s="49"/>
      <c r="G120" s="50"/>
      <c r="H120" s="50"/>
      <c r="I120" s="40"/>
      <c r="N120" s="135"/>
    </row>
    <row r="121" spans="2:14">
      <c r="D121" s="48"/>
      <c r="E121" s="144"/>
      <c r="F121" s="49"/>
      <c r="G121" s="50"/>
      <c r="H121" s="50"/>
      <c r="I121" s="40"/>
    </row>
    <row r="122" spans="2:14">
      <c r="B122" s="184" t="s">
        <v>253</v>
      </c>
      <c r="C122" s="184"/>
      <c r="D122" s="184"/>
      <c r="E122" s="184"/>
      <c r="F122" s="184"/>
      <c r="G122" s="184"/>
      <c r="H122" s="184"/>
      <c r="I122" s="184"/>
      <c r="J122" s="184"/>
      <c r="K122" s="184"/>
      <c r="L122" s="184"/>
      <c r="M122" s="184"/>
      <c r="N122" s="135"/>
    </row>
    <row r="123" spans="2:14">
      <c r="B123" s="185" t="s">
        <v>0</v>
      </c>
      <c r="C123" s="186" t="s">
        <v>1</v>
      </c>
      <c r="D123" s="186"/>
      <c r="E123" s="187" t="s">
        <v>2</v>
      </c>
      <c r="F123" s="187" t="s">
        <v>16</v>
      </c>
      <c r="G123" s="187"/>
      <c r="H123" s="188" t="s">
        <v>4</v>
      </c>
      <c r="I123" s="188"/>
      <c r="J123" s="189" t="s">
        <v>5</v>
      </c>
      <c r="K123" s="191" t="s">
        <v>123</v>
      </c>
      <c r="L123" s="191"/>
      <c r="M123" s="192" t="s">
        <v>14</v>
      </c>
      <c r="N123" s="135"/>
    </row>
    <row r="124" spans="2:14">
      <c r="B124" s="185"/>
      <c r="C124" s="186"/>
      <c r="D124" s="186"/>
      <c r="E124" s="187"/>
      <c r="F124" s="187"/>
      <c r="G124" s="187"/>
      <c r="H124" s="188"/>
      <c r="I124" s="188"/>
      <c r="J124" s="190"/>
      <c r="K124" s="21" t="s">
        <v>6</v>
      </c>
      <c r="L124" s="22" t="s">
        <v>7</v>
      </c>
      <c r="M124" s="192"/>
      <c r="N124" s="135"/>
    </row>
    <row r="125" spans="2:14">
      <c r="B125" s="31" t="s">
        <v>192</v>
      </c>
      <c r="C125" s="25" t="s">
        <v>13</v>
      </c>
      <c r="D125" s="12">
        <v>12</v>
      </c>
      <c r="E125" s="3">
        <f>VLOOKUP(D125,Dane!$A$1:$B$13,2)</f>
        <v>0.88800000000000001</v>
      </c>
      <c r="F125" s="158">
        <v>173</v>
      </c>
      <c r="G125" s="158"/>
      <c r="H125" s="173">
        <v>8</v>
      </c>
      <c r="I125" s="174"/>
      <c r="J125" s="29" t="s">
        <v>18</v>
      </c>
      <c r="K125" s="14">
        <f>IF(H125&lt;&gt;"",(E125*F125*0.01),"")</f>
        <v>1.53624</v>
      </c>
      <c r="L125" s="26">
        <f>IF(H125&lt;&gt;"",H125*K125,"")</f>
        <v>12.28992</v>
      </c>
      <c r="M125" s="238" t="s">
        <v>141</v>
      </c>
      <c r="N125" s="135"/>
    </row>
    <row r="126" spans="2:14">
      <c r="B126" s="34"/>
      <c r="C126" s="178" t="s">
        <v>1</v>
      </c>
      <c r="D126" s="178"/>
      <c r="E126" s="179" t="s">
        <v>8</v>
      </c>
      <c r="F126" s="179"/>
      <c r="G126" s="35" t="s">
        <v>15</v>
      </c>
      <c r="H126" s="36">
        <v>1</v>
      </c>
      <c r="I126" s="37"/>
      <c r="J126" s="38"/>
      <c r="K126" s="39"/>
      <c r="L126" s="39" t="str">
        <f>IF(SUM(L125:L125)=E128,"","BŁĄD")</f>
        <v/>
      </c>
      <c r="M126" s="38"/>
      <c r="N126" s="135"/>
    </row>
    <row r="127" spans="2:14">
      <c r="B127" s="6"/>
      <c r="C127" s="25" t="s">
        <v>13</v>
      </c>
      <c r="D127" s="12">
        <v>12</v>
      </c>
      <c r="E127" s="143">
        <f>IF(D127&lt;&gt;"",SUMIF(D125:D125,D127,L125:L125),"")</f>
        <v>12.28992</v>
      </c>
      <c r="F127" s="7" t="str">
        <f>IF(E127&lt;&gt;"","kg","")</f>
        <v>kg</v>
      </c>
      <c r="G127" s="224">
        <f>E127*H126</f>
        <v>12.28992</v>
      </c>
      <c r="H127" s="224"/>
      <c r="I127" s="16" t="s">
        <v>108</v>
      </c>
      <c r="N127" s="135"/>
    </row>
    <row r="128" spans="2:14">
      <c r="B128" s="6"/>
      <c r="C128" s="17"/>
      <c r="D128" s="18" t="s">
        <v>9</v>
      </c>
      <c r="E128" s="13">
        <f>SUM(E127:E127)</f>
        <v>12.28992</v>
      </c>
      <c r="F128" s="19" t="s">
        <v>108</v>
      </c>
      <c r="G128" s="226">
        <f>SUM(G127:H127)</f>
        <v>12.28992</v>
      </c>
      <c r="H128" s="226"/>
      <c r="I128" s="20" t="s">
        <v>108</v>
      </c>
      <c r="N128" s="135"/>
    </row>
    <row r="129" spans="2:14">
      <c r="D129" s="48"/>
      <c r="E129" s="144"/>
      <c r="F129" s="49"/>
      <c r="G129" s="50"/>
      <c r="H129" s="50"/>
      <c r="I129" s="40"/>
    </row>
    <row r="130" spans="2:14">
      <c r="B130" s="184" t="s">
        <v>59</v>
      </c>
      <c r="C130" s="184"/>
      <c r="D130" s="184"/>
      <c r="E130" s="184"/>
      <c r="F130" s="184"/>
      <c r="G130" s="184"/>
      <c r="H130" s="184"/>
      <c r="I130" s="184"/>
      <c r="J130" s="184"/>
      <c r="K130" s="184"/>
      <c r="L130" s="184"/>
      <c r="M130" s="184"/>
      <c r="N130" s="135"/>
    </row>
    <row r="131" spans="2:14">
      <c r="B131" s="185" t="s">
        <v>0</v>
      </c>
      <c r="C131" s="186" t="s">
        <v>1</v>
      </c>
      <c r="D131" s="186"/>
      <c r="E131" s="187" t="s">
        <v>2</v>
      </c>
      <c r="F131" s="187" t="s">
        <v>16</v>
      </c>
      <c r="G131" s="187"/>
      <c r="H131" s="188" t="s">
        <v>4</v>
      </c>
      <c r="I131" s="188"/>
      <c r="J131" s="189" t="s">
        <v>5</v>
      </c>
      <c r="K131" s="191" t="s">
        <v>123</v>
      </c>
      <c r="L131" s="191"/>
      <c r="M131" s="192" t="s">
        <v>14</v>
      </c>
      <c r="N131" s="135"/>
    </row>
    <row r="132" spans="2:14">
      <c r="B132" s="185"/>
      <c r="C132" s="186"/>
      <c r="D132" s="186"/>
      <c r="E132" s="187"/>
      <c r="F132" s="187"/>
      <c r="G132" s="187"/>
      <c r="H132" s="188"/>
      <c r="I132" s="188"/>
      <c r="J132" s="190"/>
      <c r="K132" s="21" t="s">
        <v>6</v>
      </c>
      <c r="L132" s="22" t="s">
        <v>7</v>
      </c>
      <c r="M132" s="192"/>
      <c r="N132" s="135"/>
    </row>
    <row r="133" spans="2:14">
      <c r="B133" s="31" t="s">
        <v>10</v>
      </c>
      <c r="C133" s="25" t="s">
        <v>13</v>
      </c>
      <c r="D133" s="12">
        <v>12</v>
      </c>
      <c r="E133" s="3">
        <f>VLOOKUP(D133,Dane!$A$1:$B$13,2)</f>
        <v>0.88800000000000001</v>
      </c>
      <c r="F133" s="158">
        <v>410</v>
      </c>
      <c r="G133" s="158"/>
      <c r="H133" s="173">
        <v>8</v>
      </c>
      <c r="I133" s="174"/>
      <c r="J133" s="29" t="s">
        <v>18</v>
      </c>
      <c r="K133" s="14">
        <f t="shared" ref="K133:K141" si="14">IF(H133&lt;&gt;"",(E133*F133*0.01),"")</f>
        <v>3.6408</v>
      </c>
      <c r="L133" s="26">
        <f t="shared" ref="L133:L141" si="15">IF(H133&lt;&gt;"",H133*K133,"")</f>
        <v>29.1264</v>
      </c>
      <c r="M133" s="32" t="s">
        <v>22</v>
      </c>
      <c r="N133" s="135"/>
    </row>
    <row r="134" spans="2:14">
      <c r="B134" s="31" t="s">
        <v>20</v>
      </c>
      <c r="C134" s="25" t="s">
        <v>13</v>
      </c>
      <c r="D134" s="12">
        <v>6</v>
      </c>
      <c r="E134" s="3">
        <f>VLOOKUP(D134,Dane!$A$1:$B$13,2)</f>
        <v>0.222</v>
      </c>
      <c r="F134" s="158">
        <v>160</v>
      </c>
      <c r="G134" s="158"/>
      <c r="H134" s="159">
        <v>32</v>
      </c>
      <c r="I134" s="160"/>
      <c r="J134" s="29" t="s">
        <v>18</v>
      </c>
      <c r="K134" s="14">
        <f t="shared" si="14"/>
        <v>0.35520000000000002</v>
      </c>
      <c r="L134" s="24">
        <f t="shared" si="15"/>
        <v>11.366400000000001</v>
      </c>
      <c r="M134" s="33" t="s">
        <v>21</v>
      </c>
      <c r="N134" s="135"/>
    </row>
    <row r="135" spans="2:14">
      <c r="B135" s="31" t="s">
        <v>24</v>
      </c>
      <c r="C135" s="25" t="s">
        <v>13</v>
      </c>
      <c r="D135" s="12">
        <v>12</v>
      </c>
      <c r="E135" s="3">
        <f>VLOOKUP(D135,Dane!$A$1:$B$13,2)</f>
        <v>0.88800000000000001</v>
      </c>
      <c r="F135" s="158">
        <v>435</v>
      </c>
      <c r="G135" s="158"/>
      <c r="H135" s="159">
        <v>2</v>
      </c>
      <c r="I135" s="160"/>
      <c r="J135" s="29" t="s">
        <v>18</v>
      </c>
      <c r="K135" s="14">
        <f t="shared" si="14"/>
        <v>3.8628000000000005</v>
      </c>
      <c r="L135" s="24">
        <f t="shared" si="15"/>
        <v>7.7256000000000009</v>
      </c>
      <c r="M135" s="33" t="s">
        <v>22</v>
      </c>
      <c r="N135" s="135"/>
    </row>
    <row r="136" spans="2:14">
      <c r="B136" s="31" t="s">
        <v>25</v>
      </c>
      <c r="C136" s="25" t="s">
        <v>13</v>
      </c>
      <c r="D136" s="12">
        <v>16</v>
      </c>
      <c r="E136" s="3">
        <f>VLOOKUP(D136,Dane!$A$1:$B$13,2)</f>
        <v>1.5780000000000001</v>
      </c>
      <c r="F136" s="158">
        <v>435</v>
      </c>
      <c r="G136" s="158"/>
      <c r="H136" s="159">
        <v>3</v>
      </c>
      <c r="I136" s="160"/>
      <c r="J136" s="29" t="s">
        <v>18</v>
      </c>
      <c r="K136" s="14">
        <f t="shared" si="14"/>
        <v>6.864300000000001</v>
      </c>
      <c r="L136" s="24">
        <f t="shared" si="15"/>
        <v>20.592900000000004</v>
      </c>
      <c r="M136" s="33" t="s">
        <v>22</v>
      </c>
      <c r="N136" s="135"/>
    </row>
    <row r="137" spans="2:14">
      <c r="B137" s="31" t="s">
        <v>27</v>
      </c>
      <c r="C137" s="25" t="s">
        <v>13</v>
      </c>
      <c r="D137" s="12">
        <v>6</v>
      </c>
      <c r="E137" s="3">
        <f>VLOOKUP(D137,Dane!$A$1:$B$13,2)</f>
        <v>0.222</v>
      </c>
      <c r="F137" s="158">
        <v>118</v>
      </c>
      <c r="G137" s="158"/>
      <c r="H137" s="159">
        <v>16</v>
      </c>
      <c r="I137" s="160"/>
      <c r="J137" s="29" t="s">
        <v>18</v>
      </c>
      <c r="K137" s="14">
        <f t="shared" si="14"/>
        <v>0.26196000000000003</v>
      </c>
      <c r="L137" s="24">
        <f t="shared" si="15"/>
        <v>4.1913600000000004</v>
      </c>
      <c r="M137" s="33" t="s">
        <v>232</v>
      </c>
      <c r="N137" s="135"/>
    </row>
    <row r="138" spans="2:14">
      <c r="B138" s="31" t="s">
        <v>12</v>
      </c>
      <c r="C138" s="25" t="s">
        <v>13</v>
      </c>
      <c r="D138" s="12">
        <v>12</v>
      </c>
      <c r="E138" s="3">
        <f>VLOOKUP(D138,Dane!$A$1:$B$13,2)</f>
        <v>0.88800000000000001</v>
      </c>
      <c r="F138" s="158">
        <v>542</v>
      </c>
      <c r="G138" s="158"/>
      <c r="H138" s="159">
        <v>4</v>
      </c>
      <c r="I138" s="160"/>
      <c r="J138" s="29" t="s">
        <v>18</v>
      </c>
      <c r="K138" s="14">
        <f t="shared" si="14"/>
        <v>4.8129600000000003</v>
      </c>
      <c r="L138" s="24">
        <f t="shared" si="15"/>
        <v>19.251840000000001</v>
      </c>
      <c r="M138" s="33" t="s">
        <v>22</v>
      </c>
      <c r="N138" s="135"/>
    </row>
    <row r="139" spans="2:14">
      <c r="B139" s="31" t="s">
        <v>28</v>
      </c>
      <c r="C139" s="25" t="s">
        <v>13</v>
      </c>
      <c r="D139" s="12">
        <v>6</v>
      </c>
      <c r="E139" s="3">
        <f>VLOOKUP(D139,Dane!$A$1:$B$13,2)</f>
        <v>0.222</v>
      </c>
      <c r="F139" s="158">
        <v>82</v>
      </c>
      <c r="G139" s="158"/>
      <c r="H139" s="159">
        <v>26</v>
      </c>
      <c r="I139" s="160"/>
      <c r="J139" s="29" t="s">
        <v>18</v>
      </c>
      <c r="K139" s="14">
        <f t="shared" si="14"/>
        <v>0.18204000000000001</v>
      </c>
      <c r="L139" s="24">
        <f t="shared" si="15"/>
        <v>4.7330399999999999</v>
      </c>
      <c r="M139" s="33" t="s">
        <v>23</v>
      </c>
      <c r="N139" s="135"/>
    </row>
    <row r="140" spans="2:14">
      <c r="B140" s="31" t="s">
        <v>26</v>
      </c>
      <c r="C140" s="25" t="s">
        <v>13</v>
      </c>
      <c r="D140" s="12">
        <v>12</v>
      </c>
      <c r="E140" s="3">
        <f>VLOOKUP(D140,Dane!$A$1:$B$13,2)</f>
        <v>0.88800000000000001</v>
      </c>
      <c r="F140" s="158">
        <v>235</v>
      </c>
      <c r="G140" s="158"/>
      <c r="H140" s="159">
        <v>8</v>
      </c>
      <c r="I140" s="160"/>
      <c r="J140" s="29" t="s">
        <v>18</v>
      </c>
      <c r="K140" s="14">
        <f t="shared" si="14"/>
        <v>2.0868000000000002</v>
      </c>
      <c r="L140" s="24">
        <f t="shared" si="15"/>
        <v>16.694400000000002</v>
      </c>
      <c r="M140" s="33" t="s">
        <v>22</v>
      </c>
      <c r="N140" s="135"/>
    </row>
    <row r="141" spans="2:14">
      <c r="B141" s="31" t="s">
        <v>28</v>
      </c>
      <c r="C141" s="25" t="s">
        <v>13</v>
      </c>
      <c r="D141" s="12">
        <v>6</v>
      </c>
      <c r="E141" s="3">
        <f>VLOOKUP(D141,Dane!$A$1:$B$13,2)</f>
        <v>0.222</v>
      </c>
      <c r="F141" s="158">
        <v>82</v>
      </c>
      <c r="G141" s="158"/>
      <c r="H141" s="159">
        <v>22</v>
      </c>
      <c r="I141" s="160"/>
      <c r="J141" s="29" t="s">
        <v>18</v>
      </c>
      <c r="K141" s="14">
        <f t="shared" si="14"/>
        <v>0.18204000000000001</v>
      </c>
      <c r="L141" s="24">
        <f t="shared" si="15"/>
        <v>4.00488</v>
      </c>
      <c r="M141" s="237" t="s">
        <v>23</v>
      </c>
      <c r="N141" s="135"/>
    </row>
    <row r="142" spans="2:14">
      <c r="B142" s="34"/>
      <c r="C142" s="178" t="s">
        <v>1</v>
      </c>
      <c r="D142" s="178"/>
      <c r="E142" s="179" t="s">
        <v>8</v>
      </c>
      <c r="F142" s="179"/>
      <c r="G142" s="35" t="s">
        <v>15</v>
      </c>
      <c r="H142" s="36">
        <v>1</v>
      </c>
      <c r="I142" s="37"/>
      <c r="J142" s="38"/>
      <c r="K142" s="39"/>
      <c r="L142" s="39" t="str">
        <f>IF(SUM(L133:L141)=E146,"","BŁĄD")</f>
        <v/>
      </c>
      <c r="M142" s="38"/>
      <c r="N142" s="135"/>
    </row>
    <row r="143" spans="2:14">
      <c r="B143" s="6"/>
      <c r="C143" s="25" t="s">
        <v>13</v>
      </c>
      <c r="D143" s="12">
        <v>16</v>
      </c>
      <c r="E143" s="143">
        <f>IF(D143&lt;&gt;"",SUMIF(D133:D141,D143,L133:L141),"")</f>
        <v>20.592900000000004</v>
      </c>
      <c r="F143" s="7" t="str">
        <f>IF(E143&lt;&gt;"","kg","")</f>
        <v>kg</v>
      </c>
      <c r="G143" s="232">
        <f>E143*H142</f>
        <v>20.592900000000004</v>
      </c>
      <c r="H143" s="233"/>
      <c r="I143" s="15" t="s">
        <v>108</v>
      </c>
      <c r="N143" s="135"/>
    </row>
    <row r="144" spans="2:14">
      <c r="B144" s="6"/>
      <c r="C144" s="25" t="s">
        <v>13</v>
      </c>
      <c r="D144" s="12">
        <v>12</v>
      </c>
      <c r="E144" s="143">
        <f>IF(D144&lt;&gt;"",SUMIF(D133:D141,D144,L133:L141),"")</f>
        <v>72.798240000000007</v>
      </c>
      <c r="F144" s="7" t="str">
        <f>IF(E144&lt;&gt;"","kg","")</f>
        <v>kg</v>
      </c>
      <c r="G144" s="224">
        <f>E144*H142</f>
        <v>72.798240000000007</v>
      </c>
      <c r="H144" s="225"/>
      <c r="I144" s="16" t="s">
        <v>108</v>
      </c>
      <c r="N144" s="135"/>
    </row>
    <row r="145" spans="2:14">
      <c r="B145" s="6"/>
      <c r="C145" s="25" t="s">
        <v>13</v>
      </c>
      <c r="D145" s="12">
        <v>6</v>
      </c>
      <c r="E145" s="143">
        <f>IF(D145&lt;&gt;"",SUMIF(D133:D141,D145,L133:L141),"")</f>
        <v>24.295680000000001</v>
      </c>
      <c r="F145" s="7" t="str">
        <f>IF(E145&lt;&gt;"","kg","")</f>
        <v>kg</v>
      </c>
      <c r="G145" s="224">
        <f>E145*H142</f>
        <v>24.295680000000001</v>
      </c>
      <c r="H145" s="224"/>
      <c r="I145" s="16" t="s">
        <v>108</v>
      </c>
      <c r="N145" s="135"/>
    </row>
    <row r="146" spans="2:14">
      <c r="B146" s="6"/>
      <c r="C146" s="17"/>
      <c r="D146" s="18" t="s">
        <v>9</v>
      </c>
      <c r="E146" s="13">
        <f>SUM(E143:E145)</f>
        <v>117.68682000000001</v>
      </c>
      <c r="F146" s="19" t="s">
        <v>108</v>
      </c>
      <c r="G146" s="226">
        <f>SUM(G143:H145)</f>
        <v>117.68682000000001</v>
      </c>
      <c r="H146" s="226"/>
      <c r="I146" s="20" t="s">
        <v>108</v>
      </c>
      <c r="N146" s="135"/>
    </row>
    <row r="148" spans="2:14">
      <c r="B148" s="184" t="s">
        <v>257</v>
      </c>
      <c r="C148" s="184"/>
      <c r="D148" s="184"/>
      <c r="E148" s="184"/>
      <c r="F148" s="184"/>
      <c r="G148" s="184"/>
      <c r="H148" s="184"/>
      <c r="I148" s="184"/>
      <c r="J148" s="184"/>
      <c r="K148" s="184"/>
      <c r="L148" s="184"/>
      <c r="M148" s="184"/>
      <c r="N148" s="135"/>
    </row>
    <row r="149" spans="2:14">
      <c r="B149" s="185" t="s">
        <v>0</v>
      </c>
      <c r="C149" s="186" t="s">
        <v>1</v>
      </c>
      <c r="D149" s="186"/>
      <c r="E149" s="187" t="s">
        <v>2</v>
      </c>
      <c r="F149" s="187" t="s">
        <v>16</v>
      </c>
      <c r="G149" s="187"/>
      <c r="H149" s="188" t="s">
        <v>4</v>
      </c>
      <c r="I149" s="188"/>
      <c r="J149" s="189" t="s">
        <v>5</v>
      </c>
      <c r="K149" s="191" t="s">
        <v>123</v>
      </c>
      <c r="L149" s="191"/>
      <c r="M149" s="192" t="s">
        <v>14</v>
      </c>
      <c r="N149" s="135"/>
    </row>
    <row r="150" spans="2:14">
      <c r="B150" s="185"/>
      <c r="C150" s="186"/>
      <c r="D150" s="186"/>
      <c r="E150" s="187"/>
      <c r="F150" s="187"/>
      <c r="G150" s="187"/>
      <c r="H150" s="188"/>
      <c r="I150" s="188"/>
      <c r="J150" s="190"/>
      <c r="K150" s="21" t="s">
        <v>6</v>
      </c>
      <c r="L150" s="22" t="s">
        <v>7</v>
      </c>
      <c r="M150" s="192"/>
      <c r="N150" s="135"/>
    </row>
    <row r="151" spans="2:14">
      <c r="B151" s="31" t="s">
        <v>10</v>
      </c>
      <c r="C151" s="25" t="s">
        <v>13</v>
      </c>
      <c r="D151" s="12">
        <v>12</v>
      </c>
      <c r="E151" s="3">
        <f>VLOOKUP(D151,Dane!$A$1:$B$13,2)</f>
        <v>0.88800000000000001</v>
      </c>
      <c r="F151" s="158">
        <v>38300</v>
      </c>
      <c r="G151" s="158"/>
      <c r="H151" s="173">
        <v>4</v>
      </c>
      <c r="I151" s="174"/>
      <c r="J151" s="29" t="s">
        <v>18</v>
      </c>
      <c r="K151" s="14">
        <f t="shared" ref="K151:K161" si="16">IF(H151&lt;&gt;"",(E151*F151*0.01),"")</f>
        <v>340.10400000000004</v>
      </c>
      <c r="L151" s="26">
        <f t="shared" ref="L151:L161" si="17">IF(H151&lt;&gt;"",H151*K151,"")</f>
        <v>1360.4160000000002</v>
      </c>
      <c r="M151" s="32" t="s">
        <v>22</v>
      </c>
      <c r="N151" s="135"/>
    </row>
    <row r="152" spans="2:14">
      <c r="B152" s="31" t="s">
        <v>20</v>
      </c>
      <c r="C152" s="25" t="s">
        <v>13</v>
      </c>
      <c r="D152" s="12">
        <v>6</v>
      </c>
      <c r="E152" s="3">
        <f>VLOOKUP(D152,Dane!$A$1:$B$13,2)</f>
        <v>0.222</v>
      </c>
      <c r="F152" s="158">
        <v>92</v>
      </c>
      <c r="G152" s="158"/>
      <c r="H152" s="159">
        <f>ROUND(F151/25,0)</f>
        <v>1532</v>
      </c>
      <c r="I152" s="160"/>
      <c r="J152" s="29" t="s">
        <v>18</v>
      </c>
      <c r="K152" s="14">
        <f t="shared" si="16"/>
        <v>0.20424</v>
      </c>
      <c r="L152" s="24">
        <f t="shared" si="17"/>
        <v>312.89568000000003</v>
      </c>
      <c r="M152" s="33" t="s">
        <v>29</v>
      </c>
      <c r="N152" s="135"/>
    </row>
    <row r="153" spans="2:14">
      <c r="B153" s="31" t="s">
        <v>19</v>
      </c>
      <c r="C153" s="25" t="s">
        <v>13</v>
      </c>
      <c r="D153" s="12">
        <v>12</v>
      </c>
      <c r="E153" s="3">
        <f>VLOOKUP(D153,Dane!$A$1:$B$13,2)</f>
        <v>0.88800000000000001</v>
      </c>
      <c r="F153" s="158">
        <v>180</v>
      </c>
      <c r="G153" s="158"/>
      <c r="H153" s="159">
        <v>16</v>
      </c>
      <c r="I153" s="160"/>
      <c r="J153" s="29" t="s">
        <v>18</v>
      </c>
      <c r="K153" s="14">
        <f t="shared" ref="K153:K156" si="18">IF(H153&lt;&gt;"",(E153*F153*0.01),"")</f>
        <v>1.5984</v>
      </c>
      <c r="L153" s="24">
        <f t="shared" ref="L153:L156" si="19">IF(H153&lt;&gt;"",H153*K153,"")</f>
        <v>25.574400000000001</v>
      </c>
      <c r="M153" s="33" t="s">
        <v>22</v>
      </c>
      <c r="N153" s="135"/>
    </row>
    <row r="154" spans="2:14">
      <c r="B154" s="31" t="s">
        <v>260</v>
      </c>
      <c r="C154" s="25" t="s">
        <v>13</v>
      </c>
      <c r="D154" s="12">
        <v>6</v>
      </c>
      <c r="E154" s="3">
        <f>VLOOKUP(D154,Dane!$A$1:$B$13,2)</f>
        <v>0.222</v>
      </c>
      <c r="F154" s="158">
        <v>118</v>
      </c>
      <c r="G154" s="158"/>
      <c r="H154" s="159">
        <v>56</v>
      </c>
      <c r="I154" s="160"/>
      <c r="J154" s="29" t="s">
        <v>18</v>
      </c>
      <c r="K154" s="14">
        <f t="shared" si="18"/>
        <v>0.26196000000000003</v>
      </c>
      <c r="L154" s="24">
        <f t="shared" si="19"/>
        <v>14.669760000000002</v>
      </c>
      <c r="M154" s="33" t="s">
        <v>232</v>
      </c>
      <c r="N154" s="135"/>
    </row>
    <row r="155" spans="2:14">
      <c r="B155" s="31" t="s">
        <v>41</v>
      </c>
      <c r="C155" s="25" t="s">
        <v>13</v>
      </c>
      <c r="D155" s="12">
        <v>12</v>
      </c>
      <c r="E155" s="3">
        <f>VLOOKUP(D155,Dane!$A$1:$B$13,2)</f>
        <v>0.88800000000000001</v>
      </c>
      <c r="F155" s="158">
        <v>250</v>
      </c>
      <c r="G155" s="158"/>
      <c r="H155" s="159">
        <v>10</v>
      </c>
      <c r="I155" s="160"/>
      <c r="J155" s="29" t="s">
        <v>18</v>
      </c>
      <c r="K155" s="14">
        <f t="shared" si="18"/>
        <v>2.2200000000000002</v>
      </c>
      <c r="L155" s="24">
        <f t="shared" si="19"/>
        <v>22.200000000000003</v>
      </c>
      <c r="M155" s="33" t="s">
        <v>22</v>
      </c>
      <c r="N155" s="135"/>
    </row>
    <row r="156" spans="2:14">
      <c r="B156" s="31" t="s">
        <v>261</v>
      </c>
      <c r="C156" s="25" t="s">
        <v>13</v>
      </c>
      <c r="D156" s="12">
        <v>6</v>
      </c>
      <c r="E156" s="3">
        <f>VLOOKUP(D156,Dane!$A$1:$B$13,2)</f>
        <v>0.222</v>
      </c>
      <c r="F156" s="158">
        <v>78</v>
      </c>
      <c r="G156" s="158"/>
      <c r="H156" s="159">
        <v>50</v>
      </c>
      <c r="I156" s="160"/>
      <c r="J156" s="29" t="s">
        <v>18</v>
      </c>
      <c r="K156" s="14">
        <f t="shared" si="18"/>
        <v>0.17315999999999998</v>
      </c>
      <c r="L156" s="24">
        <f t="shared" si="19"/>
        <v>8.6579999999999995</v>
      </c>
      <c r="M156" s="33" t="s">
        <v>262</v>
      </c>
      <c r="N156" s="135"/>
    </row>
    <row r="157" spans="2:14">
      <c r="B157" s="31" t="s">
        <v>42</v>
      </c>
      <c r="C157" s="25" t="s">
        <v>13</v>
      </c>
      <c r="D157" s="12">
        <v>12</v>
      </c>
      <c r="E157" s="3">
        <f>VLOOKUP(D157,Dane!$A$1:$B$13,2)</f>
        <v>0.88800000000000001</v>
      </c>
      <c r="F157" s="158">
        <v>100</v>
      </c>
      <c r="G157" s="158"/>
      <c r="H157" s="159">
        <v>8</v>
      </c>
      <c r="I157" s="160"/>
      <c r="J157" s="29" t="s">
        <v>18</v>
      </c>
      <c r="K157" s="14">
        <f t="shared" ref="K157" si="20">IF(H157&lt;&gt;"",(E157*F157*0.01),"")</f>
        <v>0.88800000000000001</v>
      </c>
      <c r="L157" s="24">
        <f t="shared" ref="L157" si="21">IF(H157&lt;&gt;"",H157*K157,"")</f>
        <v>7.1040000000000001</v>
      </c>
      <c r="M157" s="33" t="s">
        <v>22</v>
      </c>
      <c r="N157" s="135"/>
    </row>
    <row r="158" spans="2:14">
      <c r="B158" s="31" t="s">
        <v>11</v>
      </c>
      <c r="C158" s="25" t="s">
        <v>13</v>
      </c>
      <c r="D158" s="12">
        <v>12</v>
      </c>
      <c r="E158" s="3">
        <f>VLOOKUP(D158,Dane!$A$1:$B$13,2)</f>
        <v>0.88800000000000001</v>
      </c>
      <c r="F158" s="158">
        <v>2752</v>
      </c>
      <c r="G158" s="158"/>
      <c r="H158" s="159">
        <v>4</v>
      </c>
      <c r="I158" s="160"/>
      <c r="J158" s="29" t="s">
        <v>18</v>
      </c>
      <c r="K158" s="14">
        <f t="shared" si="16"/>
        <v>24.437759999999997</v>
      </c>
      <c r="L158" s="24">
        <f t="shared" si="17"/>
        <v>97.751039999999989</v>
      </c>
      <c r="M158" s="33" t="s">
        <v>22</v>
      </c>
      <c r="N158" s="135"/>
    </row>
    <row r="159" spans="2:14">
      <c r="B159" s="31" t="s">
        <v>27</v>
      </c>
      <c r="C159" s="25" t="s">
        <v>13</v>
      </c>
      <c r="D159" s="12">
        <v>6</v>
      </c>
      <c r="E159" s="3">
        <f>VLOOKUP(D159,Dane!$A$1:$B$13,2)</f>
        <v>0.222</v>
      </c>
      <c r="F159" s="158">
        <v>78</v>
      </c>
      <c r="G159" s="158"/>
      <c r="H159" s="159">
        <f>ROUND(F158/25,0)</f>
        <v>110</v>
      </c>
      <c r="I159" s="160"/>
      <c r="J159" s="29" t="s">
        <v>18</v>
      </c>
      <c r="K159" s="14">
        <f t="shared" si="16"/>
        <v>0.17315999999999998</v>
      </c>
      <c r="L159" s="24">
        <f t="shared" si="17"/>
        <v>19.047599999999999</v>
      </c>
      <c r="M159" s="33" t="s">
        <v>234</v>
      </c>
      <c r="N159" s="135"/>
    </row>
    <row r="160" spans="2:14">
      <c r="B160" s="31" t="s">
        <v>12</v>
      </c>
      <c r="C160" s="25" t="s">
        <v>13</v>
      </c>
      <c r="D160" s="12">
        <v>8</v>
      </c>
      <c r="E160" s="3">
        <f>VLOOKUP(D160,Dane!$A$1:$B$13,2)</f>
        <v>0.39500000000000002</v>
      </c>
      <c r="F160" s="158">
        <v>24890</v>
      </c>
      <c r="G160" s="158"/>
      <c r="H160" s="159">
        <v>4</v>
      </c>
      <c r="I160" s="160"/>
      <c r="J160" s="29" t="s">
        <v>18</v>
      </c>
      <c r="K160" s="14">
        <f t="shared" si="16"/>
        <v>98.315500000000014</v>
      </c>
      <c r="L160" s="24">
        <f t="shared" si="17"/>
        <v>393.26200000000006</v>
      </c>
      <c r="M160" s="33" t="s">
        <v>22</v>
      </c>
      <c r="N160" s="135"/>
    </row>
    <row r="161" spans="2:14">
      <c r="B161" s="31" t="s">
        <v>28</v>
      </c>
      <c r="C161" s="25" t="s">
        <v>13</v>
      </c>
      <c r="D161" s="12">
        <v>6</v>
      </c>
      <c r="E161" s="3">
        <f>VLOOKUP(D161,Dane!$A$1:$B$13,2)</f>
        <v>0.222</v>
      </c>
      <c r="F161" s="158">
        <v>72</v>
      </c>
      <c r="G161" s="158"/>
      <c r="H161" s="159">
        <v>1096</v>
      </c>
      <c r="I161" s="160"/>
      <c r="J161" s="29" t="s">
        <v>18</v>
      </c>
      <c r="K161" s="14">
        <f t="shared" si="16"/>
        <v>0.15984000000000001</v>
      </c>
      <c r="L161" s="24">
        <f t="shared" si="17"/>
        <v>175.18464</v>
      </c>
      <c r="M161" s="33" t="s">
        <v>30</v>
      </c>
      <c r="N161" s="135"/>
    </row>
    <row r="162" spans="2:14">
      <c r="B162" s="31" t="s">
        <v>26</v>
      </c>
      <c r="C162" s="25" t="s">
        <v>13</v>
      </c>
      <c r="D162" s="12">
        <v>10</v>
      </c>
      <c r="E162" s="3">
        <f>VLOOKUP(D162,Dane!$A$1:$B$13,2)</f>
        <v>0.61699999999999999</v>
      </c>
      <c r="F162" s="158">
        <v>3620</v>
      </c>
      <c r="G162" s="158"/>
      <c r="H162" s="159">
        <v>4</v>
      </c>
      <c r="I162" s="160"/>
      <c r="J162" s="29" t="s">
        <v>18</v>
      </c>
      <c r="K162" s="14">
        <f t="shared" ref="K162:K163" si="22">IF(H162&lt;&gt;"",(E162*F162*0.01),"")</f>
        <v>22.3354</v>
      </c>
      <c r="L162" s="24">
        <f t="shared" ref="L162:L163" si="23">IF(H162&lt;&gt;"",H162*K162,"")</f>
        <v>89.3416</v>
      </c>
      <c r="M162" s="33" t="s">
        <v>22</v>
      </c>
      <c r="N162" s="135"/>
    </row>
    <row r="163" spans="2:14">
      <c r="B163" s="31" t="s">
        <v>258</v>
      </c>
      <c r="C163" s="25" t="s">
        <v>13</v>
      </c>
      <c r="D163" s="12">
        <v>6</v>
      </c>
      <c r="E163" s="3">
        <f>VLOOKUP(D163,Dane!$A$1:$B$13,2)</f>
        <v>0.222</v>
      </c>
      <c r="F163" s="158">
        <v>52</v>
      </c>
      <c r="G163" s="158"/>
      <c r="H163" s="159">
        <v>125</v>
      </c>
      <c r="I163" s="160"/>
      <c r="J163" s="29" t="s">
        <v>18</v>
      </c>
      <c r="K163" s="14">
        <f t="shared" si="22"/>
        <v>0.11544</v>
      </c>
      <c r="L163" s="24">
        <f t="shared" si="23"/>
        <v>14.43</v>
      </c>
      <c r="M163" s="237" t="s">
        <v>259</v>
      </c>
      <c r="N163" s="135"/>
    </row>
    <row r="164" spans="2:14">
      <c r="B164" s="34"/>
      <c r="C164" s="178" t="s">
        <v>1</v>
      </c>
      <c r="D164" s="178"/>
      <c r="E164" s="179" t="s">
        <v>8</v>
      </c>
      <c r="F164" s="179"/>
      <c r="G164" s="35" t="s">
        <v>15</v>
      </c>
      <c r="H164" s="36">
        <v>1</v>
      </c>
      <c r="I164" s="37"/>
      <c r="J164" s="38"/>
      <c r="K164" s="39"/>
      <c r="L164" s="39"/>
      <c r="M164" s="38"/>
      <c r="N164" s="135"/>
    </row>
    <row r="165" spans="2:14">
      <c r="B165" s="6"/>
      <c r="C165" s="25" t="s">
        <v>13</v>
      </c>
      <c r="D165" s="12">
        <v>12</v>
      </c>
      <c r="E165" s="143">
        <f ca="1">IF(D165&lt;&gt;"",SUMIF(D151:D163,D165,L151:L161),"")</f>
        <v>1513.0454400000003</v>
      </c>
      <c r="F165" s="7" t="str">
        <f ca="1">IF(E165&lt;&gt;"","kg","")</f>
        <v>kg</v>
      </c>
      <c r="G165" s="224">
        <f ca="1">E165*H164</f>
        <v>1513.0454400000003</v>
      </c>
      <c r="H165" s="225"/>
      <c r="I165" s="16" t="s">
        <v>108</v>
      </c>
      <c r="N165" s="135"/>
    </row>
    <row r="166" spans="2:14">
      <c r="B166" s="6"/>
      <c r="C166" s="25" t="s">
        <v>13</v>
      </c>
      <c r="D166" s="12">
        <v>10</v>
      </c>
      <c r="E166" s="143">
        <f>IF(D166&lt;&gt;"",SUMIF(D151:D163,D166,L151:L163),"")</f>
        <v>89.3416</v>
      </c>
      <c r="F166" s="7" t="str">
        <f>IF(E166&lt;&gt;"","kg","")</f>
        <v>kg</v>
      </c>
      <c r="G166" s="224">
        <f>E166*H164</f>
        <v>89.3416</v>
      </c>
      <c r="H166" s="225"/>
      <c r="I166" s="16" t="s">
        <v>108</v>
      </c>
      <c r="N166" s="135"/>
    </row>
    <row r="167" spans="2:14">
      <c r="B167" s="6"/>
      <c r="C167" s="25" t="s">
        <v>13</v>
      </c>
      <c r="D167" s="12">
        <v>8</v>
      </c>
      <c r="E167" s="143">
        <f ca="1">IF(D167&lt;&gt;"",SUMIF(D151:D163,D167,L151:L161),"")</f>
        <v>393.26200000000006</v>
      </c>
      <c r="F167" s="7" t="str">
        <f ca="1">IF(E167&lt;&gt;"","kg","")</f>
        <v>kg</v>
      </c>
      <c r="G167" s="224">
        <f ca="1">E167*H164</f>
        <v>393.26200000000006</v>
      </c>
      <c r="H167" s="224"/>
      <c r="I167" s="16" t="s">
        <v>108</v>
      </c>
      <c r="N167" s="135"/>
    </row>
    <row r="168" spans="2:14">
      <c r="B168" s="6"/>
      <c r="C168" s="25" t="s">
        <v>13</v>
      </c>
      <c r="D168" s="12">
        <v>6</v>
      </c>
      <c r="E168" s="143">
        <f>IF(D168&lt;&gt;"",SUMIF(D151:D163,D168,L151:L163),"")</f>
        <v>544.88567999999998</v>
      </c>
      <c r="F168" s="7" t="str">
        <f>IF(E168&lt;&gt;"","kg","")</f>
        <v>kg</v>
      </c>
      <c r="G168" s="224">
        <f>E168*H164</f>
        <v>544.88567999999998</v>
      </c>
      <c r="H168" s="224"/>
      <c r="I168" s="16" t="s">
        <v>108</v>
      </c>
      <c r="N168" s="135"/>
    </row>
    <row r="169" spans="2:14">
      <c r="B169" s="6"/>
      <c r="C169" s="17"/>
      <c r="D169" s="18" t="s">
        <v>9</v>
      </c>
      <c r="E169" s="13">
        <f ca="1">SUM(E165:E168)</f>
        <v>2540.5347200000001</v>
      </c>
      <c r="F169" s="19" t="s">
        <v>108</v>
      </c>
      <c r="G169" s="226">
        <f ca="1">SUM(G165:H168)</f>
        <v>2540.5347200000001</v>
      </c>
      <c r="H169" s="226"/>
      <c r="I169" s="20" t="s">
        <v>108</v>
      </c>
      <c r="N169" s="135"/>
    </row>
    <row r="171" spans="2:14">
      <c r="B171" s="184" t="s">
        <v>181</v>
      </c>
      <c r="C171" s="184"/>
      <c r="D171" s="184"/>
      <c r="E171" s="184"/>
      <c r="F171" s="184"/>
      <c r="G171" s="184"/>
      <c r="H171" s="184"/>
      <c r="I171" s="184"/>
      <c r="J171" s="184"/>
      <c r="K171" s="184"/>
      <c r="L171" s="184"/>
      <c r="M171" s="184"/>
      <c r="N171" s="135"/>
    </row>
    <row r="172" spans="2:14">
      <c r="B172" s="185" t="s">
        <v>0</v>
      </c>
      <c r="C172" s="186" t="s">
        <v>1</v>
      </c>
      <c r="D172" s="186"/>
      <c r="E172" s="187" t="s">
        <v>2</v>
      </c>
      <c r="F172" s="187" t="s">
        <v>16</v>
      </c>
      <c r="G172" s="187"/>
      <c r="H172" s="188" t="s">
        <v>4</v>
      </c>
      <c r="I172" s="188"/>
      <c r="J172" s="189" t="s">
        <v>5</v>
      </c>
      <c r="K172" s="191" t="s">
        <v>123</v>
      </c>
      <c r="L172" s="191"/>
      <c r="M172" s="192" t="s">
        <v>14</v>
      </c>
      <c r="N172" s="135"/>
    </row>
    <row r="173" spans="2:14">
      <c r="B173" s="185"/>
      <c r="C173" s="186"/>
      <c r="D173" s="186"/>
      <c r="E173" s="187"/>
      <c r="F173" s="187"/>
      <c r="G173" s="187"/>
      <c r="H173" s="188"/>
      <c r="I173" s="188"/>
      <c r="J173" s="190"/>
      <c r="K173" s="21" t="s">
        <v>6</v>
      </c>
      <c r="L173" s="22" t="s">
        <v>7</v>
      </c>
      <c r="M173" s="192"/>
      <c r="N173" s="135"/>
    </row>
    <row r="174" spans="2:14">
      <c r="B174" s="31" t="s">
        <v>10</v>
      </c>
      <c r="C174" s="25" t="s">
        <v>13</v>
      </c>
      <c r="D174" s="12">
        <v>16</v>
      </c>
      <c r="E174" s="3">
        <f>VLOOKUP(D174,Dane!$A$1:$B$13,2)</f>
        <v>1.5780000000000001</v>
      </c>
      <c r="F174" s="158">
        <v>449</v>
      </c>
      <c r="G174" s="158"/>
      <c r="H174" s="173">
        <v>4</v>
      </c>
      <c r="I174" s="174"/>
      <c r="J174" s="29" t="s">
        <v>18</v>
      </c>
      <c r="K174" s="14">
        <f>IF(H174&lt;&gt;"",(E174*F174*0.01),"")</f>
        <v>7.0852200000000005</v>
      </c>
      <c r="L174" s="26">
        <f>IF(H174&lt;&gt;"",H174*K174,"")</f>
        <v>28.340880000000002</v>
      </c>
      <c r="M174" s="32" t="s">
        <v>233</v>
      </c>
      <c r="N174" s="135"/>
    </row>
    <row r="175" spans="2:14">
      <c r="B175" s="31" t="s">
        <v>11</v>
      </c>
      <c r="C175" s="25" t="s">
        <v>13</v>
      </c>
      <c r="D175" s="12">
        <v>6</v>
      </c>
      <c r="E175" s="3">
        <f>VLOOKUP(D175,Dane!$A$1:$B$13,2)</f>
        <v>0.222</v>
      </c>
      <c r="F175" s="158">
        <v>92</v>
      </c>
      <c r="G175" s="158"/>
      <c r="H175" s="159">
        <v>20</v>
      </c>
      <c r="I175" s="160"/>
      <c r="J175" s="29" t="s">
        <v>18</v>
      </c>
      <c r="K175" s="14">
        <f>IF(H175&lt;&gt;"",(E175*F175*0.01),"")</f>
        <v>0.20424</v>
      </c>
      <c r="L175" s="24">
        <f>IF(H175&lt;&gt;"",H175*K175,"")</f>
        <v>4.0848000000000004</v>
      </c>
      <c r="M175" s="237" t="s">
        <v>128</v>
      </c>
      <c r="N175" s="135"/>
    </row>
    <row r="176" spans="2:14">
      <c r="B176" s="34"/>
      <c r="C176" s="178" t="s">
        <v>1</v>
      </c>
      <c r="D176" s="178"/>
      <c r="E176" s="179" t="s">
        <v>8</v>
      </c>
      <c r="F176" s="179"/>
      <c r="G176" s="35" t="s">
        <v>15</v>
      </c>
      <c r="H176" s="36">
        <v>3</v>
      </c>
      <c r="I176" s="37"/>
      <c r="J176" s="38"/>
      <c r="K176" s="39"/>
      <c r="L176" s="39" t="str">
        <f>IF(SUM(L174:L175)=E179,"","BŁĄD")</f>
        <v/>
      </c>
      <c r="M176" s="38"/>
      <c r="N176" s="135"/>
    </row>
    <row r="177" spans="2:14">
      <c r="B177" s="6"/>
      <c r="C177" s="25" t="s">
        <v>13</v>
      </c>
      <c r="D177" s="12">
        <v>16</v>
      </c>
      <c r="E177" s="145">
        <f>IF(D177&lt;&gt;"",SUMIF(D174:D175,D177,L174:L175),"")</f>
        <v>28.340880000000002</v>
      </c>
      <c r="F177" s="7" t="str">
        <f>IF(E177&lt;&gt;"","kg","")</f>
        <v>kg</v>
      </c>
      <c r="G177" s="227">
        <f>E177*H176</f>
        <v>85.02264000000001</v>
      </c>
      <c r="H177" s="228"/>
      <c r="I177" s="16" t="s">
        <v>108</v>
      </c>
      <c r="N177" s="135"/>
    </row>
    <row r="178" spans="2:14">
      <c r="B178" s="6"/>
      <c r="C178" s="25" t="s">
        <v>13</v>
      </c>
      <c r="D178" s="12">
        <v>6</v>
      </c>
      <c r="E178" s="147">
        <f>IF(D178&lt;&gt;"",SUMIF(D174:D175,D178,L174:L175),"")</f>
        <v>4.0848000000000004</v>
      </c>
      <c r="F178" s="7" t="str">
        <f>IF(E178&lt;&gt;"","kg","")</f>
        <v>kg</v>
      </c>
      <c r="G178" s="229">
        <f>E178*H176</f>
        <v>12.2544</v>
      </c>
      <c r="H178" s="229"/>
      <c r="I178" s="16" t="s">
        <v>108</v>
      </c>
      <c r="N178" s="135"/>
    </row>
    <row r="179" spans="2:14">
      <c r="B179" s="6"/>
      <c r="C179" s="17"/>
      <c r="D179" s="18" t="s">
        <v>9</v>
      </c>
      <c r="E179" s="41">
        <f>SUM(E177:E178)</f>
        <v>32.42568</v>
      </c>
      <c r="F179" s="19" t="s">
        <v>108</v>
      </c>
      <c r="G179" s="226">
        <f>SUM(G177:H178)</f>
        <v>97.277040000000014</v>
      </c>
      <c r="H179" s="226"/>
      <c r="I179" s="20" t="s">
        <v>108</v>
      </c>
      <c r="N179" s="135"/>
    </row>
    <row r="180" spans="2:14">
      <c r="D180" s="48"/>
      <c r="E180" s="144"/>
      <c r="F180" s="49"/>
      <c r="G180" s="50"/>
      <c r="H180" s="50"/>
      <c r="I180" s="40"/>
    </row>
    <row r="181" spans="2:14">
      <c r="B181" s="184" t="s">
        <v>179</v>
      </c>
      <c r="C181" s="184"/>
      <c r="D181" s="184"/>
      <c r="E181" s="184"/>
      <c r="F181" s="184"/>
      <c r="G181" s="184"/>
      <c r="H181" s="184"/>
      <c r="I181" s="184"/>
      <c r="J181" s="184"/>
      <c r="K181" s="184"/>
      <c r="L181" s="184"/>
      <c r="M181" s="184"/>
      <c r="N181" s="135"/>
    </row>
    <row r="182" spans="2:14">
      <c r="B182" s="185" t="s">
        <v>0</v>
      </c>
      <c r="C182" s="186" t="s">
        <v>1</v>
      </c>
      <c r="D182" s="186"/>
      <c r="E182" s="187" t="s">
        <v>2</v>
      </c>
      <c r="F182" s="187" t="s">
        <v>16</v>
      </c>
      <c r="G182" s="187"/>
      <c r="H182" s="188" t="s">
        <v>4</v>
      </c>
      <c r="I182" s="188"/>
      <c r="J182" s="189" t="s">
        <v>5</v>
      </c>
      <c r="K182" s="191" t="s">
        <v>123</v>
      </c>
      <c r="L182" s="191"/>
      <c r="M182" s="192" t="s">
        <v>14</v>
      </c>
      <c r="N182" s="135"/>
    </row>
    <row r="183" spans="2:14">
      <c r="B183" s="185"/>
      <c r="C183" s="186"/>
      <c r="D183" s="186"/>
      <c r="E183" s="187"/>
      <c r="F183" s="187"/>
      <c r="G183" s="187"/>
      <c r="H183" s="188"/>
      <c r="I183" s="188"/>
      <c r="J183" s="190"/>
      <c r="K183" s="21" t="s">
        <v>6</v>
      </c>
      <c r="L183" s="22" t="s">
        <v>7</v>
      </c>
      <c r="M183" s="192"/>
      <c r="N183" s="135"/>
    </row>
    <row r="184" spans="2:14">
      <c r="B184" s="31" t="s">
        <v>10</v>
      </c>
      <c r="C184" s="25" t="s">
        <v>13</v>
      </c>
      <c r="D184" s="12">
        <v>16</v>
      </c>
      <c r="E184" s="3">
        <f>VLOOKUP(D184,Dane!$A$1:$B$13,2)</f>
        <v>1.5780000000000001</v>
      </c>
      <c r="F184" s="158">
        <v>429</v>
      </c>
      <c r="G184" s="158"/>
      <c r="H184" s="173">
        <v>4</v>
      </c>
      <c r="I184" s="174"/>
      <c r="J184" s="29" t="s">
        <v>18</v>
      </c>
      <c r="K184" s="14">
        <f>IF(H184&lt;&gt;"",(E184*F184*0.01),"")</f>
        <v>6.7696199999999997</v>
      </c>
      <c r="L184" s="26">
        <f>IF(H184&lt;&gt;"",H184*K184,"")</f>
        <v>27.078479999999999</v>
      </c>
      <c r="M184" s="32" t="s">
        <v>243</v>
      </c>
      <c r="N184" s="135"/>
    </row>
    <row r="185" spans="2:14">
      <c r="B185" s="31" t="s">
        <v>11</v>
      </c>
      <c r="C185" s="25" t="s">
        <v>13</v>
      </c>
      <c r="D185" s="12">
        <v>6</v>
      </c>
      <c r="E185" s="3">
        <f>VLOOKUP(D185,Dane!$A$1:$B$13,2)</f>
        <v>0.222</v>
      </c>
      <c r="F185" s="158">
        <v>92</v>
      </c>
      <c r="G185" s="158"/>
      <c r="H185" s="159">
        <v>19</v>
      </c>
      <c r="I185" s="160"/>
      <c r="J185" s="29" t="s">
        <v>18</v>
      </c>
      <c r="K185" s="14">
        <f>IF(H185&lt;&gt;"",(E185*F185*0.01),"")</f>
        <v>0.20424</v>
      </c>
      <c r="L185" s="24">
        <f>IF(H185&lt;&gt;"",H185*K185,"")</f>
        <v>3.88056</v>
      </c>
      <c r="M185" s="237" t="s">
        <v>128</v>
      </c>
      <c r="N185" s="135"/>
    </row>
    <row r="186" spans="2:14">
      <c r="B186" s="34"/>
      <c r="C186" s="178" t="s">
        <v>1</v>
      </c>
      <c r="D186" s="178"/>
      <c r="E186" s="179" t="s">
        <v>8</v>
      </c>
      <c r="F186" s="179"/>
      <c r="G186" s="35" t="s">
        <v>15</v>
      </c>
      <c r="H186" s="36">
        <v>5</v>
      </c>
      <c r="I186" s="37"/>
      <c r="J186" s="38"/>
      <c r="K186" s="39"/>
      <c r="L186" s="39" t="str">
        <f>IF(SUM(L184:L185)=E189,"","BŁĄD")</f>
        <v/>
      </c>
      <c r="M186" s="38"/>
      <c r="N186" s="135"/>
    </row>
    <row r="187" spans="2:14">
      <c r="B187" s="6"/>
      <c r="C187" s="25" t="s">
        <v>13</v>
      </c>
      <c r="D187" s="12">
        <v>16</v>
      </c>
      <c r="E187" s="145">
        <f>IF(D187&lt;&gt;"",SUMIF(D184:D185,D187,L184:L185),"")</f>
        <v>27.078479999999999</v>
      </c>
      <c r="F187" s="7" t="str">
        <f>IF(E187&lt;&gt;"","kg","")</f>
        <v>kg</v>
      </c>
      <c r="G187" s="227">
        <f>E187*H186</f>
        <v>135.39240000000001</v>
      </c>
      <c r="H187" s="228"/>
      <c r="I187" s="16" t="s">
        <v>108</v>
      </c>
      <c r="N187" s="135"/>
    </row>
    <row r="188" spans="2:14">
      <c r="B188" s="6"/>
      <c r="C188" s="25" t="s">
        <v>13</v>
      </c>
      <c r="D188" s="12">
        <v>6</v>
      </c>
      <c r="E188" s="147">
        <f>IF(D188&lt;&gt;"",SUMIF(D184:D185,D188,L184:L185),"")</f>
        <v>3.88056</v>
      </c>
      <c r="F188" s="7" t="str">
        <f>IF(E188&lt;&gt;"","kg","")</f>
        <v>kg</v>
      </c>
      <c r="G188" s="229">
        <f>E188*H186</f>
        <v>19.402799999999999</v>
      </c>
      <c r="H188" s="229"/>
      <c r="I188" s="16" t="s">
        <v>108</v>
      </c>
      <c r="N188" s="135"/>
    </row>
    <row r="189" spans="2:14">
      <c r="B189" s="6"/>
      <c r="C189" s="17"/>
      <c r="D189" s="18" t="s">
        <v>9</v>
      </c>
      <c r="E189" s="41">
        <f>SUM(E187:E188)</f>
        <v>30.959039999999998</v>
      </c>
      <c r="F189" s="19" t="s">
        <v>108</v>
      </c>
      <c r="G189" s="226">
        <f>SUM(G187:H188)</f>
        <v>154.79520000000002</v>
      </c>
      <c r="H189" s="226"/>
      <c r="I189" s="20" t="s">
        <v>108</v>
      </c>
      <c r="N189" s="135"/>
    </row>
    <row r="190" spans="2:14">
      <c r="D190" s="48"/>
      <c r="E190" s="144"/>
      <c r="F190" s="49"/>
      <c r="G190" s="50"/>
      <c r="H190" s="50"/>
      <c r="I190" s="40"/>
    </row>
    <row r="191" spans="2:14" ht="11.25" customHeight="1">
      <c r="B191" s="184" t="s">
        <v>178</v>
      </c>
      <c r="C191" s="184"/>
      <c r="D191" s="184"/>
      <c r="E191" s="184"/>
      <c r="F191" s="184"/>
      <c r="G191" s="184"/>
      <c r="H191" s="184"/>
      <c r="I191" s="184"/>
      <c r="J191" s="184"/>
      <c r="K191" s="184"/>
      <c r="L191" s="184"/>
      <c r="M191" s="184"/>
      <c r="N191" s="135"/>
    </row>
    <row r="192" spans="2:14" ht="11.25" customHeight="1">
      <c r="B192" s="185" t="s">
        <v>0</v>
      </c>
      <c r="C192" s="186" t="s">
        <v>1</v>
      </c>
      <c r="D192" s="186"/>
      <c r="E192" s="187" t="s">
        <v>2</v>
      </c>
      <c r="F192" s="187" t="s">
        <v>16</v>
      </c>
      <c r="G192" s="187"/>
      <c r="H192" s="188" t="s">
        <v>4</v>
      </c>
      <c r="I192" s="188"/>
      <c r="J192" s="189" t="s">
        <v>5</v>
      </c>
      <c r="K192" s="191" t="s">
        <v>123</v>
      </c>
      <c r="L192" s="191"/>
      <c r="M192" s="192" t="s">
        <v>14</v>
      </c>
      <c r="N192" s="135"/>
    </row>
    <row r="193" spans="2:14">
      <c r="B193" s="185"/>
      <c r="C193" s="186"/>
      <c r="D193" s="186"/>
      <c r="E193" s="187"/>
      <c r="F193" s="187"/>
      <c r="G193" s="187"/>
      <c r="H193" s="188"/>
      <c r="I193" s="188"/>
      <c r="J193" s="190"/>
      <c r="K193" s="21" t="s">
        <v>6</v>
      </c>
      <c r="L193" s="22" t="s">
        <v>7</v>
      </c>
      <c r="M193" s="192"/>
      <c r="N193" s="135"/>
    </row>
    <row r="194" spans="2:14">
      <c r="B194" s="31" t="s">
        <v>10</v>
      </c>
      <c r="C194" s="25" t="s">
        <v>13</v>
      </c>
      <c r="D194" s="12">
        <v>16</v>
      </c>
      <c r="E194" s="3">
        <f>VLOOKUP(D194,Dane!$A$1:$B$13,2)</f>
        <v>1.5780000000000001</v>
      </c>
      <c r="F194" s="158">
        <v>433</v>
      </c>
      <c r="G194" s="158"/>
      <c r="H194" s="173">
        <v>4</v>
      </c>
      <c r="I194" s="174"/>
      <c r="J194" s="29" t="s">
        <v>18</v>
      </c>
      <c r="K194" s="14">
        <f>IF(H194&lt;&gt;"",(E194*F194*0.01),"")</f>
        <v>6.8327400000000003</v>
      </c>
      <c r="L194" s="26">
        <f>IF(H194&lt;&gt;"",H194*K194,"")</f>
        <v>27.330960000000001</v>
      </c>
      <c r="M194" s="32" t="s">
        <v>244</v>
      </c>
      <c r="N194" s="135"/>
    </row>
    <row r="195" spans="2:14">
      <c r="B195" s="31" t="s">
        <v>11</v>
      </c>
      <c r="C195" s="25" t="s">
        <v>13</v>
      </c>
      <c r="D195" s="12">
        <v>6</v>
      </c>
      <c r="E195" s="3">
        <f>VLOOKUP(D195,Dane!$A$1:$B$13,2)</f>
        <v>0.222</v>
      </c>
      <c r="F195" s="158">
        <v>92</v>
      </c>
      <c r="G195" s="158"/>
      <c r="H195" s="159">
        <v>19</v>
      </c>
      <c r="I195" s="160"/>
      <c r="J195" s="29" t="s">
        <v>18</v>
      </c>
      <c r="K195" s="14">
        <f>IF(H195&lt;&gt;"",(E195*F195*0.01),"")</f>
        <v>0.20424</v>
      </c>
      <c r="L195" s="24">
        <f>IF(H195&lt;&gt;"",H195*K195,"")</f>
        <v>3.88056</v>
      </c>
      <c r="M195" s="237" t="s">
        <v>128</v>
      </c>
      <c r="N195" s="135"/>
    </row>
    <row r="196" spans="2:14">
      <c r="B196" s="34"/>
      <c r="C196" s="178" t="s">
        <v>1</v>
      </c>
      <c r="D196" s="178"/>
      <c r="E196" s="179" t="s">
        <v>8</v>
      </c>
      <c r="F196" s="179"/>
      <c r="G196" s="35" t="s">
        <v>15</v>
      </c>
      <c r="H196" s="36">
        <v>5</v>
      </c>
      <c r="I196" s="37"/>
      <c r="J196" s="38"/>
      <c r="K196" s="39"/>
      <c r="L196" s="39" t="str">
        <f>IF(SUM(L194:L195)=E199,"","BŁĄD")</f>
        <v/>
      </c>
      <c r="M196" s="38"/>
      <c r="N196" s="135"/>
    </row>
    <row r="197" spans="2:14">
      <c r="B197" s="6"/>
      <c r="C197" s="25" t="s">
        <v>13</v>
      </c>
      <c r="D197" s="12">
        <v>16</v>
      </c>
      <c r="E197" s="145">
        <f>IF(D197&lt;&gt;"",SUMIF(D194:D195,D197,L194:L195),"")</f>
        <v>27.330960000000001</v>
      </c>
      <c r="F197" s="7" t="str">
        <f>IF(E197&lt;&gt;"","kg","")</f>
        <v>kg</v>
      </c>
      <c r="G197" s="227">
        <f>E197*H196</f>
        <v>136.65479999999999</v>
      </c>
      <c r="H197" s="228"/>
      <c r="I197" s="16" t="s">
        <v>108</v>
      </c>
      <c r="N197" s="135"/>
    </row>
    <row r="198" spans="2:14">
      <c r="B198" s="6"/>
      <c r="C198" s="25" t="s">
        <v>13</v>
      </c>
      <c r="D198" s="12">
        <v>6</v>
      </c>
      <c r="E198" s="147">
        <f>IF(D198&lt;&gt;"",SUMIF(D194:D195,D198,L194:L195),"")</f>
        <v>3.88056</v>
      </c>
      <c r="F198" s="7" t="str">
        <f>IF(E198&lt;&gt;"","kg","")</f>
        <v>kg</v>
      </c>
      <c r="G198" s="229">
        <f>E198*H196</f>
        <v>19.402799999999999</v>
      </c>
      <c r="H198" s="229"/>
      <c r="I198" s="16" t="s">
        <v>108</v>
      </c>
      <c r="N198" s="135"/>
    </row>
    <row r="199" spans="2:14">
      <c r="B199" s="6"/>
      <c r="C199" s="17"/>
      <c r="D199" s="18" t="s">
        <v>9</v>
      </c>
      <c r="E199" s="41">
        <f>SUM(E197:E198)</f>
        <v>31.21152</v>
      </c>
      <c r="F199" s="19" t="s">
        <v>108</v>
      </c>
      <c r="G199" s="226">
        <f>SUM(G197:H198)</f>
        <v>156.05759999999998</v>
      </c>
      <c r="H199" s="226"/>
      <c r="I199" s="20" t="s">
        <v>108</v>
      </c>
      <c r="N199" s="135"/>
    </row>
    <row r="200" spans="2:14">
      <c r="D200" s="48"/>
      <c r="E200" s="144"/>
      <c r="F200" s="49"/>
      <c r="G200" s="50"/>
      <c r="H200" s="50"/>
      <c r="I200" s="40"/>
    </row>
    <row r="201" spans="2:14">
      <c r="B201" s="184" t="s">
        <v>180</v>
      </c>
      <c r="C201" s="184"/>
      <c r="D201" s="184"/>
      <c r="E201" s="184"/>
      <c r="F201" s="184"/>
      <c r="G201" s="184"/>
      <c r="H201" s="184"/>
      <c r="I201" s="184"/>
      <c r="J201" s="184"/>
      <c r="K201" s="184"/>
      <c r="L201" s="184"/>
      <c r="M201" s="184"/>
      <c r="N201" s="135"/>
    </row>
    <row r="202" spans="2:14">
      <c r="B202" s="185" t="s">
        <v>0</v>
      </c>
      <c r="C202" s="186" t="s">
        <v>1</v>
      </c>
      <c r="D202" s="186"/>
      <c r="E202" s="187" t="s">
        <v>2</v>
      </c>
      <c r="F202" s="187" t="s">
        <v>16</v>
      </c>
      <c r="G202" s="187"/>
      <c r="H202" s="188" t="s">
        <v>4</v>
      </c>
      <c r="I202" s="188"/>
      <c r="J202" s="189" t="s">
        <v>5</v>
      </c>
      <c r="K202" s="191" t="s">
        <v>123</v>
      </c>
      <c r="L202" s="191"/>
      <c r="M202" s="192" t="s">
        <v>14</v>
      </c>
      <c r="N202" s="135"/>
    </row>
    <row r="203" spans="2:14">
      <c r="B203" s="185"/>
      <c r="C203" s="186"/>
      <c r="D203" s="186"/>
      <c r="E203" s="187"/>
      <c r="F203" s="187"/>
      <c r="G203" s="187"/>
      <c r="H203" s="188"/>
      <c r="I203" s="188"/>
      <c r="J203" s="190"/>
      <c r="K203" s="21" t="s">
        <v>6</v>
      </c>
      <c r="L203" s="22" t="s">
        <v>7</v>
      </c>
      <c r="M203" s="192"/>
      <c r="N203" s="135"/>
    </row>
    <row r="204" spans="2:14">
      <c r="B204" s="31" t="s">
        <v>10</v>
      </c>
      <c r="C204" s="25" t="s">
        <v>13</v>
      </c>
      <c r="D204" s="12">
        <v>16</v>
      </c>
      <c r="E204" s="3">
        <f>VLOOKUP(D204,Dane!$A$1:$B$13,2)</f>
        <v>1.5780000000000001</v>
      </c>
      <c r="F204" s="158">
        <v>383</v>
      </c>
      <c r="G204" s="158"/>
      <c r="H204" s="173">
        <v>4</v>
      </c>
      <c r="I204" s="174"/>
      <c r="J204" s="29" t="s">
        <v>18</v>
      </c>
      <c r="K204" s="14">
        <f>IF(H204&lt;&gt;"",(E204*F204*0.01),"")</f>
        <v>6.0437400000000006</v>
      </c>
      <c r="L204" s="26">
        <f>IF(H204&lt;&gt;"",H204*K204,"")</f>
        <v>24.174960000000002</v>
      </c>
      <c r="M204" s="32" t="s">
        <v>137</v>
      </c>
      <c r="N204" s="135"/>
    </row>
    <row r="205" spans="2:14">
      <c r="B205" s="31" t="s">
        <v>11</v>
      </c>
      <c r="C205" s="25" t="s">
        <v>13</v>
      </c>
      <c r="D205" s="12">
        <v>6</v>
      </c>
      <c r="E205" s="3">
        <f>VLOOKUP(D205,Dane!$A$1:$B$13,2)</f>
        <v>0.222</v>
      </c>
      <c r="F205" s="158">
        <v>92</v>
      </c>
      <c r="G205" s="158"/>
      <c r="H205" s="159">
        <v>17</v>
      </c>
      <c r="I205" s="160"/>
      <c r="J205" s="29" t="s">
        <v>18</v>
      </c>
      <c r="K205" s="14">
        <f>IF(H205&lt;&gt;"",(E205*F205*0.01),"")</f>
        <v>0.20424</v>
      </c>
      <c r="L205" s="24">
        <f>IF(H205&lt;&gt;"",H205*K205,"")</f>
        <v>3.4720800000000001</v>
      </c>
      <c r="M205" s="237" t="s">
        <v>128</v>
      </c>
      <c r="N205" s="135"/>
    </row>
    <row r="206" spans="2:14">
      <c r="B206" s="34"/>
      <c r="C206" s="178" t="s">
        <v>1</v>
      </c>
      <c r="D206" s="178"/>
      <c r="E206" s="179" t="s">
        <v>8</v>
      </c>
      <c r="F206" s="179"/>
      <c r="G206" s="35" t="s">
        <v>15</v>
      </c>
      <c r="H206" s="36">
        <v>4</v>
      </c>
      <c r="I206" s="37"/>
      <c r="J206" s="38"/>
      <c r="K206" s="39"/>
      <c r="L206" s="39" t="str">
        <f>IF(SUM(L204:L205)=E209,"","BŁĄD")</f>
        <v/>
      </c>
      <c r="M206" s="38"/>
      <c r="N206" s="135"/>
    </row>
    <row r="207" spans="2:14">
      <c r="B207" s="6"/>
      <c r="C207" s="25" t="s">
        <v>13</v>
      </c>
      <c r="D207" s="12">
        <v>16</v>
      </c>
      <c r="E207" s="145">
        <f>IF(D207&lt;&gt;"",SUMIF(D204:D205,D207,L204:L205),"")</f>
        <v>24.174960000000002</v>
      </c>
      <c r="F207" s="7" t="str">
        <f>IF(E207&lt;&gt;"","kg","")</f>
        <v>kg</v>
      </c>
      <c r="G207" s="227">
        <f>E207*H206</f>
        <v>96.699840000000009</v>
      </c>
      <c r="H207" s="228"/>
      <c r="I207" s="16" t="s">
        <v>108</v>
      </c>
      <c r="N207" s="135"/>
    </row>
    <row r="208" spans="2:14">
      <c r="B208" s="6"/>
      <c r="C208" s="25" t="s">
        <v>13</v>
      </c>
      <c r="D208" s="12">
        <v>6</v>
      </c>
      <c r="E208" s="147">
        <f>IF(D208&lt;&gt;"",SUMIF(D204:D205,D208,L204:L205),"")</f>
        <v>3.4720800000000001</v>
      </c>
      <c r="F208" s="7" t="str">
        <f>IF(E208&lt;&gt;"","kg","")</f>
        <v>kg</v>
      </c>
      <c r="G208" s="229">
        <f>E208*H206</f>
        <v>13.88832</v>
      </c>
      <c r="H208" s="229"/>
      <c r="I208" s="16" t="s">
        <v>108</v>
      </c>
      <c r="N208" s="135"/>
    </row>
    <row r="209" spans="2:14">
      <c r="B209" s="6"/>
      <c r="C209" s="17"/>
      <c r="D209" s="18" t="s">
        <v>9</v>
      </c>
      <c r="E209" s="41">
        <f>SUM(E207:E208)</f>
        <v>27.647040000000004</v>
      </c>
      <c r="F209" s="19" t="s">
        <v>108</v>
      </c>
      <c r="G209" s="226">
        <f>SUM(G207:H208)</f>
        <v>110.58816000000002</v>
      </c>
      <c r="H209" s="226"/>
      <c r="I209" s="20" t="s">
        <v>108</v>
      </c>
      <c r="N209" s="135"/>
    </row>
    <row r="210" spans="2:14">
      <c r="D210" s="48"/>
      <c r="E210" s="144"/>
      <c r="F210" s="49"/>
      <c r="G210" s="50"/>
      <c r="H210" s="50"/>
      <c r="I210" s="40"/>
    </row>
    <row r="211" spans="2:14">
      <c r="B211" s="184" t="s">
        <v>175</v>
      </c>
      <c r="C211" s="184"/>
      <c r="D211" s="184"/>
      <c r="E211" s="184"/>
      <c r="F211" s="184"/>
      <c r="G211" s="184"/>
      <c r="H211" s="184"/>
      <c r="I211" s="184"/>
      <c r="J211" s="184"/>
      <c r="K211" s="184"/>
      <c r="L211" s="184"/>
      <c r="M211" s="184"/>
      <c r="N211" s="135"/>
    </row>
    <row r="212" spans="2:14">
      <c r="B212" s="185" t="s">
        <v>0</v>
      </c>
      <c r="C212" s="186" t="s">
        <v>1</v>
      </c>
      <c r="D212" s="186"/>
      <c r="E212" s="187" t="s">
        <v>2</v>
      </c>
      <c r="F212" s="187" t="s">
        <v>16</v>
      </c>
      <c r="G212" s="187"/>
      <c r="H212" s="188" t="s">
        <v>4</v>
      </c>
      <c r="I212" s="188"/>
      <c r="J212" s="189" t="s">
        <v>5</v>
      </c>
      <c r="K212" s="191" t="s">
        <v>123</v>
      </c>
      <c r="L212" s="191"/>
      <c r="M212" s="192" t="s">
        <v>14</v>
      </c>
      <c r="N212" s="135"/>
    </row>
    <row r="213" spans="2:14">
      <c r="B213" s="185"/>
      <c r="C213" s="186"/>
      <c r="D213" s="186"/>
      <c r="E213" s="187"/>
      <c r="F213" s="187"/>
      <c r="G213" s="187"/>
      <c r="H213" s="188"/>
      <c r="I213" s="188"/>
      <c r="J213" s="190"/>
      <c r="K213" s="21" t="s">
        <v>6</v>
      </c>
      <c r="L213" s="22" t="s">
        <v>7</v>
      </c>
      <c r="M213" s="192"/>
      <c r="N213" s="135"/>
    </row>
    <row r="214" spans="2:14">
      <c r="B214" s="31" t="s">
        <v>10</v>
      </c>
      <c r="C214" s="25" t="s">
        <v>13</v>
      </c>
      <c r="D214" s="12">
        <v>16</v>
      </c>
      <c r="E214" s="3">
        <f>VLOOKUP(D214,Dane!$A$1:$B$13,2)</f>
        <v>1.5780000000000001</v>
      </c>
      <c r="F214" s="158">
        <v>314</v>
      </c>
      <c r="G214" s="158"/>
      <c r="H214" s="173">
        <v>4</v>
      </c>
      <c r="I214" s="174"/>
      <c r="J214" s="29" t="s">
        <v>18</v>
      </c>
      <c r="K214" s="14">
        <f>IF(H214&lt;&gt;"",(E214*F214*0.01),"")</f>
        <v>4.9549200000000004</v>
      </c>
      <c r="L214" s="26">
        <f>IF(H214&lt;&gt;"",H214*K214,"")</f>
        <v>19.819680000000002</v>
      </c>
      <c r="M214" s="32" t="s">
        <v>136</v>
      </c>
      <c r="N214" s="135"/>
    </row>
    <row r="215" spans="2:14">
      <c r="B215" s="31" t="s">
        <v>11</v>
      </c>
      <c r="C215" s="25" t="s">
        <v>13</v>
      </c>
      <c r="D215" s="12">
        <v>6</v>
      </c>
      <c r="E215" s="3">
        <f>VLOOKUP(D215,Dane!$A$1:$B$13,2)</f>
        <v>0.222</v>
      </c>
      <c r="F215" s="158">
        <v>92</v>
      </c>
      <c r="G215" s="158"/>
      <c r="H215" s="159">
        <v>14</v>
      </c>
      <c r="I215" s="160"/>
      <c r="J215" s="29" t="s">
        <v>18</v>
      </c>
      <c r="K215" s="14">
        <f>IF(H215&lt;&gt;"",(E215*F215*0.01),"")</f>
        <v>0.20424</v>
      </c>
      <c r="L215" s="24">
        <f>IF(H215&lt;&gt;"",H215*K215,"")</f>
        <v>2.8593600000000001</v>
      </c>
      <c r="M215" s="237" t="s">
        <v>128</v>
      </c>
      <c r="N215" s="135"/>
    </row>
    <row r="216" spans="2:14">
      <c r="B216" s="34"/>
      <c r="C216" s="178" t="s">
        <v>1</v>
      </c>
      <c r="D216" s="178"/>
      <c r="E216" s="179" t="s">
        <v>8</v>
      </c>
      <c r="F216" s="179"/>
      <c r="G216" s="35" t="s">
        <v>15</v>
      </c>
      <c r="H216" s="36">
        <v>1</v>
      </c>
      <c r="I216" s="37"/>
      <c r="J216" s="38"/>
      <c r="K216" s="39"/>
      <c r="L216" s="39" t="str">
        <f>IF(SUM(L214:L215)=E219,"","BŁĄD")</f>
        <v/>
      </c>
      <c r="M216" s="38"/>
      <c r="N216" s="135"/>
    </row>
    <row r="217" spans="2:14">
      <c r="B217" s="6"/>
      <c r="C217" s="25" t="s">
        <v>13</v>
      </c>
      <c r="D217" s="12">
        <v>16</v>
      </c>
      <c r="E217" s="145">
        <f>IF(D217&lt;&gt;"",SUMIF(D214:D215,D217,L214:L215),"")</f>
        <v>19.819680000000002</v>
      </c>
      <c r="F217" s="7" t="str">
        <f>IF(E217&lt;&gt;"","kg","")</f>
        <v>kg</v>
      </c>
      <c r="G217" s="227">
        <f>E217*H216</f>
        <v>19.819680000000002</v>
      </c>
      <c r="H217" s="228"/>
      <c r="I217" s="16" t="s">
        <v>108</v>
      </c>
      <c r="N217" s="135"/>
    </row>
    <row r="218" spans="2:14">
      <c r="B218" s="6"/>
      <c r="C218" s="25" t="s">
        <v>13</v>
      </c>
      <c r="D218" s="12">
        <v>6</v>
      </c>
      <c r="E218" s="147">
        <f>IF(D218&lt;&gt;"",SUMIF(D214:D215,D218,L214:L215),"")</f>
        <v>2.8593600000000001</v>
      </c>
      <c r="F218" s="7" t="str">
        <f>IF(E218&lt;&gt;"","kg","")</f>
        <v>kg</v>
      </c>
      <c r="G218" s="229">
        <f>E218*H216</f>
        <v>2.8593600000000001</v>
      </c>
      <c r="H218" s="229"/>
      <c r="I218" s="16" t="s">
        <v>108</v>
      </c>
      <c r="N218" s="135"/>
    </row>
    <row r="219" spans="2:14">
      <c r="B219" s="6"/>
      <c r="C219" s="17"/>
      <c r="D219" s="18" t="s">
        <v>9</v>
      </c>
      <c r="E219" s="41">
        <f>SUM(E217:E218)</f>
        <v>22.679040000000001</v>
      </c>
      <c r="F219" s="19" t="s">
        <v>108</v>
      </c>
      <c r="G219" s="226">
        <f>SUM(G217:H218)</f>
        <v>22.679040000000001</v>
      </c>
      <c r="H219" s="226"/>
      <c r="I219" s="20" t="s">
        <v>108</v>
      </c>
      <c r="N219" s="135"/>
    </row>
    <row r="220" spans="2:14">
      <c r="D220" s="48"/>
      <c r="E220" s="144"/>
      <c r="F220" s="49"/>
      <c r="G220" s="50"/>
      <c r="H220" s="50"/>
      <c r="I220" s="40"/>
    </row>
    <row r="221" spans="2:14">
      <c r="B221" s="184" t="s">
        <v>176</v>
      </c>
      <c r="C221" s="184"/>
      <c r="D221" s="184"/>
      <c r="E221" s="184"/>
      <c r="F221" s="184"/>
      <c r="G221" s="184"/>
      <c r="H221" s="184"/>
      <c r="I221" s="184"/>
      <c r="J221" s="184"/>
      <c r="K221" s="184"/>
      <c r="L221" s="184"/>
      <c r="M221" s="184"/>
      <c r="N221" s="135"/>
    </row>
    <row r="222" spans="2:14">
      <c r="B222" s="185" t="s">
        <v>0</v>
      </c>
      <c r="C222" s="186" t="s">
        <v>1</v>
      </c>
      <c r="D222" s="186"/>
      <c r="E222" s="187" t="s">
        <v>2</v>
      </c>
      <c r="F222" s="187" t="s">
        <v>16</v>
      </c>
      <c r="G222" s="187"/>
      <c r="H222" s="188" t="s">
        <v>4</v>
      </c>
      <c r="I222" s="188"/>
      <c r="J222" s="189" t="s">
        <v>5</v>
      </c>
      <c r="K222" s="191" t="s">
        <v>123</v>
      </c>
      <c r="L222" s="191"/>
      <c r="M222" s="192" t="s">
        <v>14</v>
      </c>
      <c r="N222" s="135"/>
    </row>
    <row r="223" spans="2:14">
      <c r="B223" s="185"/>
      <c r="C223" s="186"/>
      <c r="D223" s="186"/>
      <c r="E223" s="187"/>
      <c r="F223" s="187"/>
      <c r="G223" s="187"/>
      <c r="H223" s="188"/>
      <c r="I223" s="188"/>
      <c r="J223" s="190"/>
      <c r="K223" s="21" t="s">
        <v>6</v>
      </c>
      <c r="L223" s="22" t="s">
        <v>7</v>
      </c>
      <c r="M223" s="192"/>
      <c r="N223" s="135"/>
    </row>
    <row r="224" spans="2:14">
      <c r="B224" s="31" t="s">
        <v>10</v>
      </c>
      <c r="C224" s="25" t="s">
        <v>13</v>
      </c>
      <c r="D224" s="12">
        <v>16</v>
      </c>
      <c r="E224" s="3">
        <f>VLOOKUP(D224,Dane!$A$1:$B$13,2)</f>
        <v>1.5780000000000001</v>
      </c>
      <c r="F224" s="158">
        <v>404</v>
      </c>
      <c r="G224" s="158"/>
      <c r="H224" s="173">
        <v>4</v>
      </c>
      <c r="I224" s="174"/>
      <c r="J224" s="29" t="s">
        <v>18</v>
      </c>
      <c r="K224" s="14">
        <f>IF(H224&lt;&gt;"",(E224*F224*0.01),"")</f>
        <v>6.3751200000000008</v>
      </c>
      <c r="L224" s="26">
        <f>IF(H224&lt;&gt;"",H224*K224,"")</f>
        <v>25.500480000000003</v>
      </c>
      <c r="M224" s="32" t="s">
        <v>245</v>
      </c>
      <c r="N224" s="135"/>
    </row>
    <row r="225" spans="2:14">
      <c r="B225" s="31" t="s">
        <v>11</v>
      </c>
      <c r="C225" s="25" t="s">
        <v>13</v>
      </c>
      <c r="D225" s="12">
        <v>6</v>
      </c>
      <c r="E225" s="3">
        <f>VLOOKUP(D225,Dane!$A$1:$B$13,2)</f>
        <v>0.222</v>
      </c>
      <c r="F225" s="158">
        <v>92</v>
      </c>
      <c r="G225" s="158"/>
      <c r="H225" s="159">
        <v>18</v>
      </c>
      <c r="I225" s="160"/>
      <c r="J225" s="29" t="s">
        <v>18</v>
      </c>
      <c r="K225" s="14">
        <f>IF(H225&lt;&gt;"",(E225*F225*0.01),"")</f>
        <v>0.20424</v>
      </c>
      <c r="L225" s="24">
        <f>IF(H225&lt;&gt;"",H225*K225,"")</f>
        <v>3.67632</v>
      </c>
      <c r="M225" s="237" t="s">
        <v>128</v>
      </c>
      <c r="N225" s="135"/>
    </row>
    <row r="226" spans="2:14">
      <c r="B226" s="34"/>
      <c r="C226" s="178" t="s">
        <v>1</v>
      </c>
      <c r="D226" s="178"/>
      <c r="E226" s="179" t="s">
        <v>8</v>
      </c>
      <c r="F226" s="179"/>
      <c r="G226" s="35" t="s">
        <v>15</v>
      </c>
      <c r="H226" s="36">
        <v>2</v>
      </c>
      <c r="I226" s="37"/>
      <c r="J226" s="38"/>
      <c r="K226" s="39"/>
      <c r="L226" s="39" t="str">
        <f>IF(SUM(L224:L225)=E229,"","BŁĄD")</f>
        <v/>
      </c>
      <c r="M226" s="38"/>
      <c r="N226" s="135"/>
    </row>
    <row r="227" spans="2:14">
      <c r="B227" s="6"/>
      <c r="C227" s="25" t="s">
        <v>13</v>
      </c>
      <c r="D227" s="12">
        <v>16</v>
      </c>
      <c r="E227" s="145">
        <f>IF(D227&lt;&gt;"",SUMIF(D224:D225,D227,L224:L225),"")</f>
        <v>25.500480000000003</v>
      </c>
      <c r="F227" s="7" t="str">
        <f>IF(E227&lt;&gt;"","kg","")</f>
        <v>kg</v>
      </c>
      <c r="G227" s="227">
        <f>E227*H226</f>
        <v>51.000960000000006</v>
      </c>
      <c r="H227" s="228"/>
      <c r="I227" s="16" t="s">
        <v>108</v>
      </c>
      <c r="N227" s="135"/>
    </row>
    <row r="228" spans="2:14">
      <c r="B228" s="6"/>
      <c r="C228" s="25" t="s">
        <v>13</v>
      </c>
      <c r="D228" s="12">
        <v>6</v>
      </c>
      <c r="E228" s="147">
        <f>IF(D228&lt;&gt;"",SUMIF(D224:D225,D228,L224:L225),"")</f>
        <v>3.67632</v>
      </c>
      <c r="F228" s="7" t="str">
        <f>IF(E228&lt;&gt;"","kg","")</f>
        <v>kg</v>
      </c>
      <c r="G228" s="229">
        <f>E228*H226</f>
        <v>7.3526400000000001</v>
      </c>
      <c r="H228" s="229"/>
      <c r="I228" s="16" t="s">
        <v>108</v>
      </c>
      <c r="N228" s="135"/>
    </row>
    <row r="229" spans="2:14">
      <c r="B229" s="6"/>
      <c r="C229" s="17"/>
      <c r="D229" s="18" t="s">
        <v>9</v>
      </c>
      <c r="E229" s="41">
        <f>SUM(E227:E228)</f>
        <v>29.176800000000004</v>
      </c>
      <c r="F229" s="19" t="s">
        <v>108</v>
      </c>
      <c r="G229" s="226">
        <f>SUM(G227:H228)</f>
        <v>58.353600000000007</v>
      </c>
      <c r="H229" s="226"/>
      <c r="I229" s="20" t="s">
        <v>108</v>
      </c>
      <c r="N229" s="135"/>
    </row>
    <row r="230" spans="2:14">
      <c r="D230" s="48"/>
      <c r="E230" s="144"/>
      <c r="F230" s="49"/>
      <c r="G230" s="50"/>
      <c r="H230" s="50"/>
      <c r="I230" s="40"/>
    </row>
    <row r="231" spans="2:14">
      <c r="B231" s="184" t="s">
        <v>177</v>
      </c>
      <c r="C231" s="184"/>
      <c r="D231" s="184"/>
      <c r="E231" s="184"/>
      <c r="F231" s="184"/>
      <c r="G231" s="184"/>
      <c r="H231" s="184"/>
      <c r="I231" s="184"/>
      <c r="J231" s="184"/>
      <c r="K231" s="184"/>
      <c r="L231" s="184"/>
      <c r="M231" s="184"/>
      <c r="N231" s="135"/>
    </row>
    <row r="232" spans="2:14">
      <c r="B232" s="185" t="s">
        <v>0</v>
      </c>
      <c r="C232" s="186" t="s">
        <v>1</v>
      </c>
      <c r="D232" s="186"/>
      <c r="E232" s="187" t="s">
        <v>2</v>
      </c>
      <c r="F232" s="187" t="s">
        <v>16</v>
      </c>
      <c r="G232" s="187"/>
      <c r="H232" s="188" t="s">
        <v>4</v>
      </c>
      <c r="I232" s="188"/>
      <c r="J232" s="189" t="s">
        <v>5</v>
      </c>
      <c r="K232" s="191" t="s">
        <v>123</v>
      </c>
      <c r="L232" s="191"/>
      <c r="M232" s="192" t="s">
        <v>14</v>
      </c>
      <c r="N232" s="135"/>
    </row>
    <row r="233" spans="2:14">
      <c r="B233" s="185"/>
      <c r="C233" s="186"/>
      <c r="D233" s="186"/>
      <c r="E233" s="187"/>
      <c r="F233" s="187"/>
      <c r="G233" s="187"/>
      <c r="H233" s="188"/>
      <c r="I233" s="188"/>
      <c r="J233" s="190"/>
      <c r="K233" s="21" t="s">
        <v>6</v>
      </c>
      <c r="L233" s="22" t="s">
        <v>7</v>
      </c>
      <c r="M233" s="192"/>
      <c r="N233" s="135"/>
    </row>
    <row r="234" spans="2:14">
      <c r="B234" s="31" t="s">
        <v>10</v>
      </c>
      <c r="C234" s="25" t="s">
        <v>13</v>
      </c>
      <c r="D234" s="12">
        <v>16</v>
      </c>
      <c r="E234" s="3">
        <f>VLOOKUP(D234,Dane!$A$1:$B$13,2)</f>
        <v>1.5780000000000001</v>
      </c>
      <c r="F234" s="158">
        <v>395</v>
      </c>
      <c r="G234" s="158"/>
      <c r="H234" s="173">
        <v>4</v>
      </c>
      <c r="I234" s="174"/>
      <c r="J234" s="29" t="s">
        <v>18</v>
      </c>
      <c r="K234" s="14">
        <f>IF(H234&lt;&gt;"",(E234*F234*0.01),"")</f>
        <v>6.2331000000000003</v>
      </c>
      <c r="L234" s="26">
        <f>IF(H234&lt;&gt;"",H234*K234,"")</f>
        <v>24.932400000000001</v>
      </c>
      <c r="M234" s="32" t="s">
        <v>138</v>
      </c>
      <c r="N234" s="135"/>
    </row>
    <row r="235" spans="2:14">
      <c r="B235" s="31" t="s">
        <v>12</v>
      </c>
      <c r="C235" s="25" t="s">
        <v>13</v>
      </c>
      <c r="D235" s="12">
        <v>16</v>
      </c>
      <c r="E235" s="3">
        <f>VLOOKUP(D235,Dane!$A$1:$B$13,2)</f>
        <v>1.5780000000000001</v>
      </c>
      <c r="F235" s="158">
        <v>442</v>
      </c>
      <c r="G235" s="158"/>
      <c r="H235" s="159">
        <v>4</v>
      </c>
      <c r="I235" s="160"/>
      <c r="J235" s="29" t="s">
        <v>18</v>
      </c>
      <c r="K235" s="14">
        <f>IF(H235&lt;&gt;"",(E235*F235*0.01),"")</f>
        <v>6.9747599999999998</v>
      </c>
      <c r="L235" s="24">
        <f>IF(H235&lt;&gt;"",H235*K235,"")</f>
        <v>27.899039999999999</v>
      </c>
      <c r="M235" s="33" t="s">
        <v>246</v>
      </c>
      <c r="N235" s="135"/>
    </row>
    <row r="236" spans="2:14">
      <c r="B236" s="31" t="s">
        <v>11</v>
      </c>
      <c r="C236" s="25" t="s">
        <v>13</v>
      </c>
      <c r="D236" s="12">
        <v>6</v>
      </c>
      <c r="E236" s="3">
        <f>VLOOKUP(D236,Dane!$A$1:$B$13,2)</f>
        <v>0.222</v>
      </c>
      <c r="F236" s="158">
        <v>92</v>
      </c>
      <c r="G236" s="158"/>
      <c r="H236" s="159">
        <v>32</v>
      </c>
      <c r="I236" s="160"/>
      <c r="J236" s="29" t="s">
        <v>18</v>
      </c>
      <c r="K236" s="14">
        <f>IF(H236&lt;&gt;"",(E236*F236*0.01),"")</f>
        <v>0.20424</v>
      </c>
      <c r="L236" s="24">
        <f>IF(H236&lt;&gt;"",H236*K236,"")</f>
        <v>6.5356800000000002</v>
      </c>
      <c r="M236" s="237" t="s">
        <v>128</v>
      </c>
      <c r="N236" s="135"/>
    </row>
    <row r="237" spans="2:14">
      <c r="B237" s="34"/>
      <c r="C237" s="178" t="s">
        <v>1</v>
      </c>
      <c r="D237" s="178"/>
      <c r="E237" s="179" t="s">
        <v>8</v>
      </c>
      <c r="F237" s="179"/>
      <c r="G237" s="35" t="s">
        <v>15</v>
      </c>
      <c r="H237" s="36">
        <v>4</v>
      </c>
      <c r="I237" s="37"/>
      <c r="J237" s="38"/>
      <c r="K237" s="39"/>
      <c r="L237" s="39" t="str">
        <f>IF(SUM(L234:L236)=E240,"","BŁĄD")</f>
        <v/>
      </c>
      <c r="M237" s="38"/>
      <c r="N237" s="135"/>
    </row>
    <row r="238" spans="2:14">
      <c r="B238" s="6"/>
      <c r="C238" s="25" t="s">
        <v>13</v>
      </c>
      <c r="D238" s="12">
        <v>16</v>
      </c>
      <c r="E238" s="145">
        <f>IF(D238&lt;&gt;"",SUMIF(D234:D236,D238,L234:L236),"")</f>
        <v>52.831440000000001</v>
      </c>
      <c r="F238" s="7" t="str">
        <f>IF(E238&lt;&gt;"","kg","")</f>
        <v>kg</v>
      </c>
      <c r="G238" s="227">
        <f>E238*H237</f>
        <v>211.32576</v>
      </c>
      <c r="H238" s="228"/>
      <c r="I238" s="16" t="s">
        <v>108</v>
      </c>
      <c r="N238" s="135"/>
    </row>
    <row r="239" spans="2:14">
      <c r="B239" s="6"/>
      <c r="C239" s="25" t="s">
        <v>13</v>
      </c>
      <c r="D239" s="12">
        <v>6</v>
      </c>
      <c r="E239" s="147">
        <f>IF(D239&lt;&gt;"",SUMIF(D234:D236,D239,L234:L236),"")</f>
        <v>6.5356800000000002</v>
      </c>
      <c r="F239" s="7" t="str">
        <f>IF(E239&lt;&gt;"","kg","")</f>
        <v>kg</v>
      </c>
      <c r="G239" s="229">
        <f>E239*H237</f>
        <v>26.142720000000001</v>
      </c>
      <c r="H239" s="229"/>
      <c r="I239" s="16" t="s">
        <v>108</v>
      </c>
      <c r="N239" s="135"/>
    </row>
    <row r="240" spans="2:14">
      <c r="B240" s="6"/>
      <c r="C240" s="17"/>
      <c r="D240" s="18" t="s">
        <v>9</v>
      </c>
      <c r="E240" s="41">
        <f>SUM(E238:E239)</f>
        <v>59.36712</v>
      </c>
      <c r="F240" s="19" t="s">
        <v>108</v>
      </c>
      <c r="G240" s="226">
        <f>SUM(G238:H239)</f>
        <v>237.46848</v>
      </c>
      <c r="H240" s="226"/>
      <c r="I240" s="20" t="s">
        <v>108</v>
      </c>
      <c r="N240" s="135"/>
    </row>
    <row r="241" spans="2:14">
      <c r="D241" s="48"/>
      <c r="E241" s="144"/>
      <c r="F241" s="49"/>
      <c r="G241" s="50"/>
      <c r="H241" s="50"/>
      <c r="I241" s="40"/>
    </row>
    <row r="242" spans="2:14">
      <c r="B242" s="184" t="s">
        <v>174</v>
      </c>
      <c r="C242" s="184"/>
      <c r="D242" s="184"/>
      <c r="E242" s="184"/>
      <c r="F242" s="184"/>
      <c r="G242" s="184"/>
      <c r="H242" s="184"/>
      <c r="I242" s="184"/>
      <c r="J242" s="184"/>
      <c r="K242" s="184"/>
      <c r="L242" s="184"/>
      <c r="M242" s="184"/>
      <c r="N242" s="135"/>
    </row>
    <row r="243" spans="2:14">
      <c r="B243" s="185" t="s">
        <v>0</v>
      </c>
      <c r="C243" s="186" t="s">
        <v>1</v>
      </c>
      <c r="D243" s="186"/>
      <c r="E243" s="187" t="s">
        <v>2</v>
      </c>
      <c r="F243" s="187" t="s">
        <v>16</v>
      </c>
      <c r="G243" s="187"/>
      <c r="H243" s="188" t="s">
        <v>4</v>
      </c>
      <c r="I243" s="188"/>
      <c r="J243" s="189" t="s">
        <v>5</v>
      </c>
      <c r="K243" s="191" t="s">
        <v>123</v>
      </c>
      <c r="L243" s="191"/>
      <c r="M243" s="192" t="s">
        <v>14</v>
      </c>
      <c r="N243" s="135"/>
    </row>
    <row r="244" spans="2:14">
      <c r="B244" s="185"/>
      <c r="C244" s="186"/>
      <c r="D244" s="186"/>
      <c r="E244" s="187"/>
      <c r="F244" s="187"/>
      <c r="G244" s="187"/>
      <c r="H244" s="188"/>
      <c r="I244" s="188"/>
      <c r="J244" s="190"/>
      <c r="K244" s="21" t="s">
        <v>6</v>
      </c>
      <c r="L244" s="22" t="s">
        <v>7</v>
      </c>
      <c r="M244" s="192"/>
      <c r="N244" s="135"/>
    </row>
    <row r="245" spans="2:14">
      <c r="B245" s="31" t="s">
        <v>10</v>
      </c>
      <c r="C245" s="25" t="s">
        <v>13</v>
      </c>
      <c r="D245" s="12">
        <v>16</v>
      </c>
      <c r="E245" s="3">
        <f>VLOOKUP(D245,Dane!$A$1:$B$13,2)</f>
        <v>1.5780000000000001</v>
      </c>
      <c r="F245" s="158">
        <v>616</v>
      </c>
      <c r="G245" s="158"/>
      <c r="H245" s="173">
        <v>4</v>
      </c>
      <c r="I245" s="174"/>
      <c r="J245" s="29" t="s">
        <v>18</v>
      </c>
      <c r="K245" s="14">
        <f>IF(H245&lt;&gt;"",(E245*F245*0.01),"")</f>
        <v>9.7204800000000002</v>
      </c>
      <c r="L245" s="26">
        <f>IF(H245&lt;&gt;"",H245*K245,"")</f>
        <v>38.881920000000001</v>
      </c>
      <c r="M245" s="32" t="s">
        <v>138</v>
      </c>
      <c r="N245" s="135"/>
    </row>
    <row r="246" spans="2:14">
      <c r="B246" s="31" t="s">
        <v>12</v>
      </c>
      <c r="C246" s="25" t="s">
        <v>13</v>
      </c>
      <c r="D246" s="12">
        <v>16</v>
      </c>
      <c r="E246" s="3">
        <f>VLOOKUP(D246,Dane!$A$1:$B$13,2)</f>
        <v>1.5780000000000001</v>
      </c>
      <c r="F246" s="158">
        <v>241</v>
      </c>
      <c r="G246" s="158"/>
      <c r="H246" s="159">
        <v>4</v>
      </c>
      <c r="I246" s="160"/>
      <c r="J246" s="29" t="s">
        <v>18</v>
      </c>
      <c r="K246" s="14">
        <f>IF(H246&lt;&gt;"",(E246*F246*0.01),"")</f>
        <v>3.8029800000000002</v>
      </c>
      <c r="L246" s="24">
        <f>IF(H246&lt;&gt;"",H246*K246,"")</f>
        <v>15.211920000000001</v>
      </c>
      <c r="M246" s="33" t="s">
        <v>247</v>
      </c>
      <c r="N246" s="135"/>
    </row>
    <row r="247" spans="2:14">
      <c r="B247" s="31" t="s">
        <v>11</v>
      </c>
      <c r="C247" s="25" t="s">
        <v>13</v>
      </c>
      <c r="D247" s="12">
        <v>6</v>
      </c>
      <c r="E247" s="3">
        <f>VLOOKUP(D247,Dane!$A$1:$B$13,2)</f>
        <v>0.222</v>
      </c>
      <c r="F247" s="158">
        <v>92</v>
      </c>
      <c r="G247" s="158"/>
      <c r="H247" s="159">
        <v>33</v>
      </c>
      <c r="I247" s="160"/>
      <c r="J247" s="29" t="s">
        <v>18</v>
      </c>
      <c r="K247" s="14">
        <f>IF(H247&lt;&gt;"",(E247*F247*0.01),"")</f>
        <v>0.20424</v>
      </c>
      <c r="L247" s="24">
        <f>IF(H247&lt;&gt;"",H247*K247,"")</f>
        <v>6.7399200000000006</v>
      </c>
      <c r="M247" s="237" t="s">
        <v>128</v>
      </c>
      <c r="N247" s="135"/>
    </row>
    <row r="248" spans="2:14">
      <c r="B248" s="34"/>
      <c r="C248" s="178" t="s">
        <v>1</v>
      </c>
      <c r="D248" s="178"/>
      <c r="E248" s="179" t="s">
        <v>8</v>
      </c>
      <c r="F248" s="179"/>
      <c r="G248" s="35" t="s">
        <v>15</v>
      </c>
      <c r="H248" s="36">
        <v>5</v>
      </c>
      <c r="I248" s="37"/>
      <c r="J248" s="38"/>
      <c r="K248" s="39"/>
      <c r="L248" s="39" t="str">
        <f>IF(SUM(L245:L247)=E251,"","BŁĄD")</f>
        <v/>
      </c>
      <c r="M248" s="38"/>
      <c r="N248" s="135"/>
    </row>
    <row r="249" spans="2:14">
      <c r="B249" s="6"/>
      <c r="C249" s="25" t="s">
        <v>13</v>
      </c>
      <c r="D249" s="12">
        <v>16</v>
      </c>
      <c r="E249" s="145">
        <f>IF(D249&lt;&gt;"",SUMIF(D245:D247,D249,L245:L247),"")</f>
        <v>54.09384</v>
      </c>
      <c r="F249" s="7" t="str">
        <f>IF(E249&lt;&gt;"","kg","")</f>
        <v>kg</v>
      </c>
      <c r="G249" s="227">
        <f>E249*H248</f>
        <v>270.4692</v>
      </c>
      <c r="H249" s="228"/>
      <c r="I249" s="16" t="s">
        <v>108</v>
      </c>
      <c r="N249" s="135"/>
    </row>
    <row r="250" spans="2:14">
      <c r="B250" s="6"/>
      <c r="C250" s="25" t="s">
        <v>13</v>
      </c>
      <c r="D250" s="12">
        <v>6</v>
      </c>
      <c r="E250" s="147">
        <f>IF(D250&lt;&gt;"",SUMIF(D245:D247,D250,L245:L247),"")</f>
        <v>6.7399200000000006</v>
      </c>
      <c r="F250" s="7" t="str">
        <f>IF(E250&lt;&gt;"","kg","")</f>
        <v>kg</v>
      </c>
      <c r="G250" s="229">
        <f>E250*H248</f>
        <v>33.699600000000004</v>
      </c>
      <c r="H250" s="229"/>
      <c r="I250" s="16" t="s">
        <v>108</v>
      </c>
      <c r="N250" s="135"/>
    </row>
    <row r="251" spans="2:14">
      <c r="B251" s="6"/>
      <c r="C251" s="17"/>
      <c r="D251" s="18" t="s">
        <v>9</v>
      </c>
      <c r="E251" s="41">
        <f>SUM(E249:E250)</f>
        <v>60.833759999999998</v>
      </c>
      <c r="F251" s="19" t="s">
        <v>108</v>
      </c>
      <c r="G251" s="226">
        <f>SUM(G249:H250)</f>
        <v>304.16880000000003</v>
      </c>
      <c r="H251" s="226"/>
      <c r="I251" s="20" t="s">
        <v>108</v>
      </c>
      <c r="N251" s="135"/>
    </row>
    <row r="252" spans="2:14">
      <c r="D252" s="48"/>
      <c r="E252" s="144"/>
      <c r="F252" s="49"/>
      <c r="G252" s="50"/>
      <c r="H252" s="50"/>
      <c r="I252" s="40"/>
    </row>
    <row r="253" spans="2:14">
      <c r="B253" s="184" t="s">
        <v>173</v>
      </c>
      <c r="C253" s="184"/>
      <c r="D253" s="184"/>
      <c r="E253" s="184"/>
      <c r="F253" s="184"/>
      <c r="G253" s="184"/>
      <c r="H253" s="184"/>
      <c r="I253" s="184"/>
      <c r="J253" s="184"/>
      <c r="K253" s="184"/>
      <c r="L253" s="184"/>
      <c r="M253" s="184"/>
      <c r="N253" s="135"/>
    </row>
    <row r="254" spans="2:14">
      <c r="B254" s="185" t="s">
        <v>0</v>
      </c>
      <c r="C254" s="186" t="s">
        <v>1</v>
      </c>
      <c r="D254" s="186"/>
      <c r="E254" s="187" t="s">
        <v>2</v>
      </c>
      <c r="F254" s="187" t="s">
        <v>16</v>
      </c>
      <c r="G254" s="187"/>
      <c r="H254" s="188" t="s">
        <v>4</v>
      </c>
      <c r="I254" s="188"/>
      <c r="J254" s="189" t="s">
        <v>5</v>
      </c>
      <c r="K254" s="191" t="s">
        <v>123</v>
      </c>
      <c r="L254" s="191"/>
      <c r="M254" s="192" t="s">
        <v>14</v>
      </c>
      <c r="N254" s="135"/>
    </row>
    <row r="255" spans="2:14">
      <c r="B255" s="185"/>
      <c r="C255" s="186"/>
      <c r="D255" s="186"/>
      <c r="E255" s="187"/>
      <c r="F255" s="187"/>
      <c r="G255" s="187"/>
      <c r="H255" s="188"/>
      <c r="I255" s="188"/>
      <c r="J255" s="190"/>
      <c r="K255" s="21" t="s">
        <v>6</v>
      </c>
      <c r="L255" s="22" t="s">
        <v>7</v>
      </c>
      <c r="M255" s="192"/>
      <c r="N255" s="135"/>
    </row>
    <row r="256" spans="2:14">
      <c r="B256" s="31" t="s">
        <v>10</v>
      </c>
      <c r="C256" s="25" t="s">
        <v>13</v>
      </c>
      <c r="D256" s="12">
        <v>16</v>
      </c>
      <c r="E256" s="3">
        <f>VLOOKUP(D256,Dane!$A$1:$B$13,2)</f>
        <v>1.5780000000000001</v>
      </c>
      <c r="F256" s="158">
        <v>395</v>
      </c>
      <c r="G256" s="158"/>
      <c r="H256" s="173">
        <v>4</v>
      </c>
      <c r="I256" s="174"/>
      <c r="J256" s="29" t="s">
        <v>18</v>
      </c>
      <c r="K256" s="14">
        <f>IF(H256&lt;&gt;"",(E256*F256*0.01),"")</f>
        <v>6.2331000000000003</v>
      </c>
      <c r="L256" s="26">
        <f>IF(H256&lt;&gt;"",H256*K256,"")</f>
        <v>24.932400000000001</v>
      </c>
      <c r="M256" s="32" t="s">
        <v>138</v>
      </c>
      <c r="N256" s="135"/>
    </row>
    <row r="257" spans="2:14">
      <c r="B257" s="31" t="s">
        <v>12</v>
      </c>
      <c r="C257" s="25" t="s">
        <v>13</v>
      </c>
      <c r="D257" s="12">
        <v>16</v>
      </c>
      <c r="E257" s="3">
        <f>VLOOKUP(D257,Dane!$A$1:$B$13,2)</f>
        <v>1.5780000000000001</v>
      </c>
      <c r="F257" s="158">
        <v>441</v>
      </c>
      <c r="G257" s="158"/>
      <c r="H257" s="159">
        <v>4</v>
      </c>
      <c r="I257" s="160"/>
      <c r="J257" s="29" t="s">
        <v>18</v>
      </c>
      <c r="K257" s="14">
        <f>IF(H257&lt;&gt;"",(E257*F257*0.01),"")</f>
        <v>6.9589800000000004</v>
      </c>
      <c r="L257" s="24">
        <f>IF(H257&lt;&gt;"",H257*K257,"")</f>
        <v>27.835920000000002</v>
      </c>
      <c r="M257" s="33" t="s">
        <v>139</v>
      </c>
      <c r="N257" s="135"/>
    </row>
    <row r="258" spans="2:14">
      <c r="B258" s="31" t="s">
        <v>11</v>
      </c>
      <c r="C258" s="25" t="s">
        <v>13</v>
      </c>
      <c r="D258" s="12">
        <v>6</v>
      </c>
      <c r="E258" s="3">
        <f>VLOOKUP(D258,Dane!$A$1:$B$13,2)</f>
        <v>0.222</v>
      </c>
      <c r="F258" s="158">
        <v>92</v>
      </c>
      <c r="G258" s="158"/>
      <c r="H258" s="159">
        <v>32</v>
      </c>
      <c r="I258" s="160"/>
      <c r="J258" s="29" t="s">
        <v>18</v>
      </c>
      <c r="K258" s="14">
        <f>IF(H258&lt;&gt;"",(E258*F258*0.01),"")</f>
        <v>0.20424</v>
      </c>
      <c r="L258" s="24">
        <f>IF(H258&lt;&gt;"",H258*K258,"")</f>
        <v>6.5356800000000002</v>
      </c>
      <c r="M258" s="237" t="s">
        <v>128</v>
      </c>
      <c r="N258" s="135"/>
    </row>
    <row r="259" spans="2:14">
      <c r="B259" s="34"/>
      <c r="C259" s="178" t="s">
        <v>1</v>
      </c>
      <c r="D259" s="178"/>
      <c r="E259" s="179" t="s">
        <v>8</v>
      </c>
      <c r="F259" s="179"/>
      <c r="G259" s="35" t="s">
        <v>15</v>
      </c>
      <c r="H259" s="36">
        <v>2</v>
      </c>
      <c r="I259" s="37"/>
      <c r="J259" s="38"/>
      <c r="K259" s="39"/>
      <c r="L259" s="39" t="str">
        <f>IF(SUM(L256:L258)=E262,"","BŁĄD")</f>
        <v/>
      </c>
      <c r="M259" s="38"/>
      <c r="N259" s="135"/>
    </row>
    <row r="260" spans="2:14">
      <c r="B260" s="6"/>
      <c r="C260" s="25" t="s">
        <v>13</v>
      </c>
      <c r="D260" s="12">
        <v>16</v>
      </c>
      <c r="E260" s="145">
        <f>IF(D260&lt;&gt;"",SUMIF(D256:D258,D260,L256:L258),"")</f>
        <v>52.768320000000003</v>
      </c>
      <c r="F260" s="7" t="str">
        <f>IF(E260&lt;&gt;"","kg","")</f>
        <v>kg</v>
      </c>
      <c r="G260" s="227">
        <f>E260*H259</f>
        <v>105.53664000000001</v>
      </c>
      <c r="H260" s="228"/>
      <c r="I260" s="16" t="s">
        <v>108</v>
      </c>
      <c r="N260" s="135"/>
    </row>
    <row r="261" spans="2:14">
      <c r="B261" s="6"/>
      <c r="C261" s="25" t="s">
        <v>13</v>
      </c>
      <c r="D261" s="12">
        <v>6</v>
      </c>
      <c r="E261" s="147">
        <f>IF(D261&lt;&gt;"",SUMIF(D256:D258,D261,L256:L258),"")</f>
        <v>6.5356800000000002</v>
      </c>
      <c r="F261" s="7" t="str">
        <f>IF(E261&lt;&gt;"","kg","")</f>
        <v>kg</v>
      </c>
      <c r="G261" s="229">
        <f>E261*H259</f>
        <v>13.07136</v>
      </c>
      <c r="H261" s="229"/>
      <c r="I261" s="16" t="s">
        <v>108</v>
      </c>
      <c r="N261" s="135"/>
    </row>
    <row r="262" spans="2:14">
      <c r="B262" s="6"/>
      <c r="C262" s="17"/>
      <c r="D262" s="18" t="s">
        <v>9</v>
      </c>
      <c r="E262" s="41">
        <f>SUM(E260:E261)</f>
        <v>59.304000000000002</v>
      </c>
      <c r="F262" s="19" t="s">
        <v>108</v>
      </c>
      <c r="G262" s="226">
        <f>SUM(G260:H261)</f>
        <v>118.608</v>
      </c>
      <c r="H262" s="226"/>
      <c r="I262" s="20" t="s">
        <v>108</v>
      </c>
      <c r="N262" s="135"/>
    </row>
    <row r="263" spans="2:14">
      <c r="D263" s="48"/>
      <c r="E263" s="146"/>
      <c r="F263" s="49"/>
      <c r="G263" s="50"/>
      <c r="H263" s="50"/>
      <c r="I263" s="40"/>
    </row>
    <row r="264" spans="2:14">
      <c r="B264" s="184" t="s">
        <v>172</v>
      </c>
      <c r="C264" s="184"/>
      <c r="D264" s="184"/>
      <c r="E264" s="184"/>
      <c r="F264" s="184"/>
      <c r="G264" s="184"/>
      <c r="H264" s="184"/>
      <c r="I264" s="184"/>
      <c r="J264" s="184"/>
      <c r="K264" s="184"/>
      <c r="L264" s="184"/>
      <c r="M264" s="184"/>
      <c r="N264" s="135"/>
    </row>
    <row r="265" spans="2:14">
      <c r="B265" s="185" t="s">
        <v>0</v>
      </c>
      <c r="C265" s="186" t="s">
        <v>1</v>
      </c>
      <c r="D265" s="186"/>
      <c r="E265" s="187" t="s">
        <v>2</v>
      </c>
      <c r="F265" s="187" t="s">
        <v>16</v>
      </c>
      <c r="G265" s="187"/>
      <c r="H265" s="188" t="s">
        <v>4</v>
      </c>
      <c r="I265" s="188"/>
      <c r="J265" s="189" t="s">
        <v>5</v>
      </c>
      <c r="K265" s="191" t="s">
        <v>123</v>
      </c>
      <c r="L265" s="191"/>
      <c r="M265" s="192" t="s">
        <v>14</v>
      </c>
      <c r="N265" s="135"/>
    </row>
    <row r="266" spans="2:14">
      <c r="B266" s="185"/>
      <c r="C266" s="186"/>
      <c r="D266" s="186"/>
      <c r="E266" s="187"/>
      <c r="F266" s="187"/>
      <c r="G266" s="187"/>
      <c r="H266" s="188"/>
      <c r="I266" s="188"/>
      <c r="J266" s="190"/>
      <c r="K266" s="21" t="s">
        <v>6</v>
      </c>
      <c r="L266" s="22" t="s">
        <v>7</v>
      </c>
      <c r="M266" s="192"/>
      <c r="N266" s="135"/>
    </row>
    <row r="267" spans="2:14">
      <c r="B267" s="31" t="s">
        <v>10</v>
      </c>
      <c r="C267" s="25" t="s">
        <v>13</v>
      </c>
      <c r="D267" s="12">
        <v>16</v>
      </c>
      <c r="E267" s="3">
        <f>VLOOKUP(D267,Dane!$A$1:$B$13,2)</f>
        <v>1.5780000000000001</v>
      </c>
      <c r="F267" s="158">
        <v>530</v>
      </c>
      <c r="G267" s="158"/>
      <c r="H267" s="173">
        <v>4</v>
      </c>
      <c r="I267" s="174"/>
      <c r="J267" s="29" t="s">
        <v>18</v>
      </c>
      <c r="K267" s="14">
        <f>IF(H267&lt;&gt;"",(E267*F267*0.01),"")</f>
        <v>8.3634000000000004</v>
      </c>
      <c r="L267" s="26">
        <f>IF(H267&lt;&gt;"",H267*K267,"")</f>
        <v>33.453600000000002</v>
      </c>
      <c r="M267" s="32" t="s">
        <v>138</v>
      </c>
      <c r="N267" s="135"/>
    </row>
    <row r="268" spans="2:14">
      <c r="B268" s="31" t="s">
        <v>11</v>
      </c>
      <c r="C268" s="25" t="s">
        <v>13</v>
      </c>
      <c r="D268" s="12">
        <v>6</v>
      </c>
      <c r="E268" s="3">
        <f>VLOOKUP(D268,Dane!$A$1:$B$13,2)</f>
        <v>0.222</v>
      </c>
      <c r="F268" s="158">
        <v>92</v>
      </c>
      <c r="G268" s="158"/>
      <c r="H268" s="159">
        <v>31</v>
      </c>
      <c r="I268" s="160"/>
      <c r="J268" s="29" t="s">
        <v>18</v>
      </c>
      <c r="K268" s="14">
        <f>IF(H268&lt;&gt;"",(E268*F268*0.01),"")</f>
        <v>0.20424</v>
      </c>
      <c r="L268" s="24">
        <f>IF(H268&lt;&gt;"",H268*K268,"")</f>
        <v>6.3314399999999997</v>
      </c>
      <c r="M268" s="33" t="s">
        <v>128</v>
      </c>
      <c r="N268" s="135"/>
    </row>
    <row r="269" spans="2:14">
      <c r="B269" s="31" t="s">
        <v>12</v>
      </c>
      <c r="C269" s="25" t="s">
        <v>13</v>
      </c>
      <c r="D269" s="12">
        <v>16</v>
      </c>
      <c r="E269" s="3">
        <f>VLOOKUP(D269,Dane!$A$1:$B$13,2)</f>
        <v>1.5780000000000001</v>
      </c>
      <c r="F269" s="158">
        <v>239</v>
      </c>
      <c r="G269" s="158"/>
      <c r="H269" s="159">
        <v>4</v>
      </c>
      <c r="I269" s="160"/>
      <c r="J269" s="29" t="s">
        <v>18</v>
      </c>
      <c r="K269" s="14">
        <f>IF(H269&lt;&gt;"",(E269*F269*0.01),"")</f>
        <v>3.77142</v>
      </c>
      <c r="L269" s="24">
        <f>IF(H269&lt;&gt;"",H269*K269,"")</f>
        <v>15.08568</v>
      </c>
      <c r="M269" s="237" t="s">
        <v>141</v>
      </c>
      <c r="N269" s="135"/>
    </row>
    <row r="270" spans="2:14">
      <c r="B270" s="34"/>
      <c r="C270" s="178" t="s">
        <v>1</v>
      </c>
      <c r="D270" s="178"/>
      <c r="E270" s="179" t="s">
        <v>8</v>
      </c>
      <c r="F270" s="179"/>
      <c r="G270" s="35" t="s">
        <v>15</v>
      </c>
      <c r="H270" s="36">
        <v>2</v>
      </c>
      <c r="I270" s="37"/>
      <c r="J270" s="38"/>
      <c r="K270" s="39"/>
      <c r="L270" s="39" t="str">
        <f>IF(SUM(L267:L269)=E273,"","BŁĄD")</f>
        <v/>
      </c>
      <c r="M270" s="38"/>
      <c r="N270" s="135"/>
    </row>
    <row r="271" spans="2:14">
      <c r="B271" s="6"/>
      <c r="C271" s="25" t="s">
        <v>13</v>
      </c>
      <c r="D271" s="12">
        <v>16</v>
      </c>
      <c r="E271" s="145">
        <f>IF(D271&lt;&gt;"",SUMIF(D267:D269,D271,L267:L269),"")</f>
        <v>48.539280000000005</v>
      </c>
      <c r="F271" s="7" t="str">
        <f>IF(E271&lt;&gt;"","kg","")</f>
        <v>kg</v>
      </c>
      <c r="G271" s="227">
        <f>E271*H270</f>
        <v>97.07856000000001</v>
      </c>
      <c r="H271" s="228"/>
      <c r="I271" s="16" t="s">
        <v>108</v>
      </c>
      <c r="N271" s="135"/>
    </row>
    <row r="272" spans="2:14">
      <c r="B272" s="6"/>
      <c r="C272" s="25" t="s">
        <v>13</v>
      </c>
      <c r="D272" s="12">
        <v>6</v>
      </c>
      <c r="E272" s="147">
        <f>IF(D272&lt;&gt;"",SUMIF(D267:D269,D272,L267:L269),"")</f>
        <v>6.3314399999999997</v>
      </c>
      <c r="F272" s="7" t="str">
        <f>IF(E272&lt;&gt;"","kg","")</f>
        <v>kg</v>
      </c>
      <c r="G272" s="229">
        <f>E272*H270</f>
        <v>12.662879999999999</v>
      </c>
      <c r="H272" s="229"/>
      <c r="I272" s="16" t="s">
        <v>108</v>
      </c>
      <c r="N272" s="135"/>
    </row>
    <row r="273" spans="2:14">
      <c r="B273" s="6"/>
      <c r="C273" s="17"/>
      <c r="D273" s="18" t="s">
        <v>9</v>
      </c>
      <c r="E273" s="41">
        <f>SUM(E271:E272)</f>
        <v>54.870720000000006</v>
      </c>
      <c r="F273" s="19" t="s">
        <v>108</v>
      </c>
      <c r="G273" s="226">
        <f>SUM(G271:H272)</f>
        <v>109.74144000000001</v>
      </c>
      <c r="H273" s="226"/>
      <c r="I273" s="20" t="s">
        <v>108</v>
      </c>
      <c r="N273" s="135"/>
    </row>
    <row r="274" spans="2:14">
      <c r="D274" s="48"/>
      <c r="E274" s="146"/>
      <c r="F274" s="49"/>
      <c r="G274" s="50"/>
      <c r="H274" s="50"/>
      <c r="I274" s="40"/>
    </row>
    <row r="275" spans="2:14">
      <c r="B275" s="184" t="s">
        <v>170</v>
      </c>
      <c r="C275" s="184"/>
      <c r="D275" s="184"/>
      <c r="E275" s="184"/>
      <c r="F275" s="184"/>
      <c r="G275" s="184"/>
      <c r="H275" s="184"/>
      <c r="I275" s="184"/>
      <c r="J275" s="184"/>
      <c r="K275" s="184"/>
      <c r="L275" s="184"/>
      <c r="M275" s="184"/>
      <c r="N275" s="135"/>
    </row>
    <row r="276" spans="2:14">
      <c r="B276" s="185" t="s">
        <v>0</v>
      </c>
      <c r="C276" s="186" t="s">
        <v>1</v>
      </c>
      <c r="D276" s="186"/>
      <c r="E276" s="187" t="s">
        <v>2</v>
      </c>
      <c r="F276" s="187" t="s">
        <v>16</v>
      </c>
      <c r="G276" s="187"/>
      <c r="H276" s="188" t="s">
        <v>4</v>
      </c>
      <c r="I276" s="188"/>
      <c r="J276" s="189" t="s">
        <v>5</v>
      </c>
      <c r="K276" s="191" t="s">
        <v>123</v>
      </c>
      <c r="L276" s="191"/>
      <c r="M276" s="192" t="s">
        <v>14</v>
      </c>
      <c r="N276" s="135"/>
    </row>
    <row r="277" spans="2:14">
      <c r="B277" s="185"/>
      <c r="C277" s="186"/>
      <c r="D277" s="186"/>
      <c r="E277" s="187"/>
      <c r="F277" s="187"/>
      <c r="G277" s="187"/>
      <c r="H277" s="188"/>
      <c r="I277" s="188"/>
      <c r="J277" s="190"/>
      <c r="K277" s="21" t="s">
        <v>6</v>
      </c>
      <c r="L277" s="22" t="s">
        <v>7</v>
      </c>
      <c r="M277" s="192"/>
      <c r="N277" s="135"/>
    </row>
    <row r="278" spans="2:14">
      <c r="B278" s="31" t="s">
        <v>10</v>
      </c>
      <c r="C278" s="25" t="s">
        <v>13</v>
      </c>
      <c r="D278" s="12">
        <v>16</v>
      </c>
      <c r="E278" s="3">
        <f>VLOOKUP(D278,Dane!$A$1:$B$13,2)</f>
        <v>1.5780000000000001</v>
      </c>
      <c r="F278" s="158">
        <v>491</v>
      </c>
      <c r="G278" s="158"/>
      <c r="H278" s="173">
        <v>4</v>
      </c>
      <c r="I278" s="174"/>
      <c r="J278" s="29" t="s">
        <v>18</v>
      </c>
      <c r="K278" s="14">
        <f>IF(H278&lt;&gt;"",(E278*F278*0.01),"")</f>
        <v>7.7479800000000001</v>
      </c>
      <c r="L278" s="26">
        <f>IF(H278&lt;&gt;"",H278*K278,"")</f>
        <v>30.99192</v>
      </c>
      <c r="M278" s="32" t="s">
        <v>141</v>
      </c>
      <c r="N278" s="135"/>
    </row>
    <row r="279" spans="2:14">
      <c r="B279" s="31" t="s">
        <v>11</v>
      </c>
      <c r="C279" s="25" t="s">
        <v>13</v>
      </c>
      <c r="D279" s="12">
        <v>6</v>
      </c>
      <c r="E279" s="3">
        <f>VLOOKUP(D279,Dane!$A$1:$B$13,2)</f>
        <v>0.222</v>
      </c>
      <c r="F279" s="158">
        <v>92</v>
      </c>
      <c r="G279" s="158"/>
      <c r="H279" s="159">
        <v>21</v>
      </c>
      <c r="I279" s="160"/>
      <c r="J279" s="29" t="s">
        <v>18</v>
      </c>
      <c r="K279" s="14">
        <f>IF(H279&lt;&gt;"",(E279*F279*0.01),"")</f>
        <v>0.20424</v>
      </c>
      <c r="L279" s="24">
        <f>IF(H279&lt;&gt;"",H279*K279,"")</f>
        <v>4.28904</v>
      </c>
      <c r="M279" s="237" t="s">
        <v>128</v>
      </c>
      <c r="N279" s="135"/>
    </row>
    <row r="280" spans="2:14">
      <c r="B280" s="34"/>
      <c r="C280" s="178" t="s">
        <v>1</v>
      </c>
      <c r="D280" s="178"/>
      <c r="E280" s="179" t="s">
        <v>8</v>
      </c>
      <c r="F280" s="179"/>
      <c r="G280" s="35" t="s">
        <v>15</v>
      </c>
      <c r="H280" s="36">
        <v>1</v>
      </c>
      <c r="I280" s="37"/>
      <c r="J280" s="38"/>
      <c r="K280" s="39"/>
      <c r="L280" s="39" t="str">
        <f>IF(SUM(L278:L279)=E283,"","BŁĄD")</f>
        <v/>
      </c>
      <c r="M280" s="38"/>
      <c r="N280" s="135"/>
    </row>
    <row r="281" spans="2:14">
      <c r="B281" s="6"/>
      <c r="C281" s="25" t="s">
        <v>13</v>
      </c>
      <c r="D281" s="12">
        <v>16</v>
      </c>
      <c r="E281" s="145">
        <f>IF(D281&lt;&gt;"",SUMIF(D278:D279,D281,L278:L279),"")</f>
        <v>30.99192</v>
      </c>
      <c r="F281" s="7" t="str">
        <f>IF(E281&lt;&gt;"","kg","")</f>
        <v>kg</v>
      </c>
      <c r="G281" s="227">
        <f>E281*H280</f>
        <v>30.99192</v>
      </c>
      <c r="H281" s="228"/>
      <c r="I281" s="16" t="s">
        <v>108</v>
      </c>
      <c r="N281" s="135"/>
    </row>
    <row r="282" spans="2:14">
      <c r="B282" s="6"/>
      <c r="C282" s="25" t="s">
        <v>13</v>
      </c>
      <c r="D282" s="12">
        <v>6</v>
      </c>
      <c r="E282" s="147">
        <f>IF(D282&lt;&gt;"",SUMIF(D278:D279,D282,L278:L279),"")</f>
        <v>4.28904</v>
      </c>
      <c r="F282" s="7" t="str">
        <f>IF(E282&lt;&gt;"","kg","")</f>
        <v>kg</v>
      </c>
      <c r="G282" s="229">
        <f>E282*H280</f>
        <v>4.28904</v>
      </c>
      <c r="H282" s="229"/>
      <c r="I282" s="16" t="s">
        <v>108</v>
      </c>
      <c r="N282" s="135"/>
    </row>
    <row r="283" spans="2:14">
      <c r="B283" s="6"/>
      <c r="C283" s="17"/>
      <c r="D283" s="18" t="s">
        <v>9</v>
      </c>
      <c r="E283" s="41">
        <f>SUM(E281:E282)</f>
        <v>35.28096</v>
      </c>
      <c r="F283" s="19" t="s">
        <v>108</v>
      </c>
      <c r="G283" s="226">
        <f>SUM(G281:H282)</f>
        <v>35.28096</v>
      </c>
      <c r="H283" s="226"/>
      <c r="I283" s="20" t="s">
        <v>108</v>
      </c>
      <c r="N283" s="135"/>
    </row>
    <row r="284" spans="2:14">
      <c r="D284" s="48"/>
      <c r="E284" s="146"/>
      <c r="F284" s="49"/>
      <c r="G284" s="50"/>
      <c r="H284" s="50"/>
      <c r="I284" s="40"/>
    </row>
    <row r="285" spans="2:14">
      <c r="B285" s="184" t="s">
        <v>171</v>
      </c>
      <c r="C285" s="184"/>
      <c r="D285" s="184"/>
      <c r="E285" s="184"/>
      <c r="F285" s="184"/>
      <c r="G285" s="184"/>
      <c r="H285" s="184"/>
      <c r="I285" s="184"/>
      <c r="J285" s="184"/>
      <c r="K285" s="184"/>
      <c r="L285" s="184"/>
      <c r="M285" s="184"/>
      <c r="N285" s="135"/>
    </row>
    <row r="286" spans="2:14">
      <c r="B286" s="185" t="s">
        <v>0</v>
      </c>
      <c r="C286" s="186" t="s">
        <v>1</v>
      </c>
      <c r="D286" s="186"/>
      <c r="E286" s="187" t="s">
        <v>2</v>
      </c>
      <c r="F286" s="187" t="s">
        <v>16</v>
      </c>
      <c r="G286" s="187"/>
      <c r="H286" s="188" t="s">
        <v>4</v>
      </c>
      <c r="I286" s="188"/>
      <c r="J286" s="189" t="s">
        <v>5</v>
      </c>
      <c r="K286" s="191" t="s">
        <v>123</v>
      </c>
      <c r="L286" s="191"/>
      <c r="M286" s="192" t="s">
        <v>14</v>
      </c>
      <c r="N286" s="135"/>
    </row>
    <row r="287" spans="2:14">
      <c r="B287" s="185"/>
      <c r="C287" s="186"/>
      <c r="D287" s="186"/>
      <c r="E287" s="187"/>
      <c r="F287" s="187"/>
      <c r="G287" s="187"/>
      <c r="H287" s="188"/>
      <c r="I287" s="188"/>
      <c r="J287" s="190"/>
      <c r="K287" s="21" t="s">
        <v>6</v>
      </c>
      <c r="L287" s="22" t="s">
        <v>7</v>
      </c>
      <c r="M287" s="192"/>
      <c r="N287" s="135"/>
    </row>
    <row r="288" spans="2:14">
      <c r="B288" s="31" t="s">
        <v>10</v>
      </c>
      <c r="C288" s="25" t="s">
        <v>13</v>
      </c>
      <c r="D288" s="12">
        <v>16</v>
      </c>
      <c r="E288" s="3">
        <f>VLOOKUP(D288,Dane!$A$1:$B$13,2)</f>
        <v>1.5780000000000001</v>
      </c>
      <c r="F288" s="158">
        <v>631</v>
      </c>
      <c r="G288" s="158"/>
      <c r="H288" s="173">
        <v>4</v>
      </c>
      <c r="I288" s="174"/>
      <c r="J288" s="29" t="s">
        <v>18</v>
      </c>
      <c r="K288" s="14">
        <f>IF(H288&lt;&gt;"",(E288*F288*0.01),"")</f>
        <v>9.957180000000001</v>
      </c>
      <c r="L288" s="26">
        <f>IF(H288&lt;&gt;"",H288*K288,"")</f>
        <v>39.828720000000004</v>
      </c>
      <c r="M288" s="32" t="s">
        <v>141</v>
      </c>
      <c r="N288" s="135"/>
    </row>
    <row r="289" spans="2:14">
      <c r="B289" s="31" t="s">
        <v>11</v>
      </c>
      <c r="C289" s="25" t="s">
        <v>13</v>
      </c>
      <c r="D289" s="12">
        <v>6</v>
      </c>
      <c r="E289" s="3">
        <f>VLOOKUP(D289,Dane!$A$1:$B$13,2)</f>
        <v>0.222</v>
      </c>
      <c r="F289" s="158">
        <v>92</v>
      </c>
      <c r="G289" s="158"/>
      <c r="H289" s="159">
        <v>26</v>
      </c>
      <c r="I289" s="160"/>
      <c r="J289" s="29" t="s">
        <v>18</v>
      </c>
      <c r="K289" s="14">
        <f>IF(H289&lt;&gt;"",(E289*F289*0.01),"")</f>
        <v>0.20424</v>
      </c>
      <c r="L289" s="24">
        <f>IF(H289&lt;&gt;"",H289*K289,"")</f>
        <v>5.3102400000000003</v>
      </c>
      <c r="M289" s="237" t="s">
        <v>128</v>
      </c>
      <c r="N289" s="135"/>
    </row>
    <row r="290" spans="2:14">
      <c r="B290" s="34"/>
      <c r="C290" s="178" t="s">
        <v>1</v>
      </c>
      <c r="D290" s="178"/>
      <c r="E290" s="179" t="s">
        <v>8</v>
      </c>
      <c r="F290" s="179"/>
      <c r="G290" s="35" t="s">
        <v>15</v>
      </c>
      <c r="H290" s="36">
        <v>1</v>
      </c>
      <c r="I290" s="37"/>
      <c r="J290" s="38"/>
      <c r="K290" s="39"/>
      <c r="L290" s="39" t="str">
        <f>IF(SUM(L288:L289)=E293,"","BŁĄD")</f>
        <v/>
      </c>
      <c r="M290" s="38"/>
      <c r="N290" s="135"/>
    </row>
    <row r="291" spans="2:14">
      <c r="B291" s="6"/>
      <c r="C291" s="25" t="s">
        <v>13</v>
      </c>
      <c r="D291" s="12">
        <v>16</v>
      </c>
      <c r="E291" s="145">
        <f>IF(D291&lt;&gt;"",SUMIF(D288:D289,D291,L288:L289),"")</f>
        <v>39.828720000000004</v>
      </c>
      <c r="F291" s="7" t="str">
        <f>IF(E291&lt;&gt;"","kg","")</f>
        <v>kg</v>
      </c>
      <c r="G291" s="227">
        <f>E291*H290</f>
        <v>39.828720000000004</v>
      </c>
      <c r="H291" s="228"/>
      <c r="I291" s="16" t="s">
        <v>108</v>
      </c>
      <c r="N291" s="135"/>
    </row>
    <row r="292" spans="2:14">
      <c r="B292" s="6"/>
      <c r="C292" s="25" t="s">
        <v>13</v>
      </c>
      <c r="D292" s="12">
        <v>6</v>
      </c>
      <c r="E292" s="147">
        <f>IF(D292&lt;&gt;"",SUMIF(D288:D289,D292,L288:L289),"")</f>
        <v>5.3102400000000003</v>
      </c>
      <c r="F292" s="7" t="str">
        <f>IF(E292&lt;&gt;"","kg","")</f>
        <v>kg</v>
      </c>
      <c r="G292" s="229">
        <f>E292*H290</f>
        <v>5.3102400000000003</v>
      </c>
      <c r="H292" s="229"/>
      <c r="I292" s="16" t="s">
        <v>108</v>
      </c>
      <c r="N292" s="135"/>
    </row>
    <row r="293" spans="2:14">
      <c r="B293" s="6"/>
      <c r="C293" s="17"/>
      <c r="D293" s="18" t="s">
        <v>9</v>
      </c>
      <c r="E293" s="41">
        <f>SUM(E291:E292)</f>
        <v>45.138960000000004</v>
      </c>
      <c r="F293" s="19" t="s">
        <v>108</v>
      </c>
      <c r="G293" s="226">
        <f>SUM(G291:H292)</f>
        <v>45.138960000000004</v>
      </c>
      <c r="H293" s="226"/>
      <c r="I293" s="20" t="s">
        <v>108</v>
      </c>
      <c r="N293" s="135"/>
    </row>
    <row r="294" spans="2:14">
      <c r="D294" s="48"/>
      <c r="E294" s="146"/>
      <c r="F294" s="49"/>
      <c r="G294" s="50"/>
      <c r="H294" s="50"/>
      <c r="I294" s="40"/>
    </row>
    <row r="295" spans="2:14">
      <c r="B295" s="184" t="s">
        <v>169</v>
      </c>
      <c r="C295" s="184"/>
      <c r="D295" s="184"/>
      <c r="E295" s="184"/>
      <c r="F295" s="184"/>
      <c r="G295" s="184"/>
      <c r="H295" s="184"/>
      <c r="I295" s="184"/>
      <c r="J295" s="184"/>
      <c r="K295" s="184"/>
      <c r="L295" s="184"/>
      <c r="M295" s="184"/>
      <c r="N295" s="135"/>
    </row>
    <row r="296" spans="2:14">
      <c r="B296" s="185" t="s">
        <v>0</v>
      </c>
      <c r="C296" s="186" t="s">
        <v>1</v>
      </c>
      <c r="D296" s="186"/>
      <c r="E296" s="187" t="s">
        <v>2</v>
      </c>
      <c r="F296" s="187" t="s">
        <v>16</v>
      </c>
      <c r="G296" s="187"/>
      <c r="H296" s="188" t="s">
        <v>4</v>
      </c>
      <c r="I296" s="188"/>
      <c r="J296" s="189" t="s">
        <v>5</v>
      </c>
      <c r="K296" s="191" t="s">
        <v>123</v>
      </c>
      <c r="L296" s="191"/>
      <c r="M296" s="192" t="s">
        <v>14</v>
      </c>
      <c r="N296" s="135"/>
    </row>
    <row r="297" spans="2:14">
      <c r="B297" s="185"/>
      <c r="C297" s="186"/>
      <c r="D297" s="186"/>
      <c r="E297" s="187"/>
      <c r="F297" s="187"/>
      <c r="G297" s="187"/>
      <c r="H297" s="188"/>
      <c r="I297" s="188"/>
      <c r="J297" s="190"/>
      <c r="K297" s="21" t="s">
        <v>6</v>
      </c>
      <c r="L297" s="22" t="s">
        <v>7</v>
      </c>
      <c r="M297" s="192"/>
      <c r="N297" s="135"/>
    </row>
    <row r="298" spans="2:14">
      <c r="B298" s="31" t="s">
        <v>10</v>
      </c>
      <c r="C298" s="25" t="s">
        <v>13</v>
      </c>
      <c r="D298" s="12">
        <v>16</v>
      </c>
      <c r="E298" s="3">
        <f>VLOOKUP(D298,Dane!$A$1:$B$13,2)</f>
        <v>1.5780000000000001</v>
      </c>
      <c r="F298" s="158">
        <v>390</v>
      </c>
      <c r="G298" s="158"/>
      <c r="H298" s="173">
        <v>4</v>
      </c>
      <c r="I298" s="174"/>
      <c r="J298" s="29" t="s">
        <v>18</v>
      </c>
      <c r="K298" s="14">
        <f>IF(H298&lt;&gt;"",(E298*F298*0.01),"")</f>
        <v>6.1542000000000012</v>
      </c>
      <c r="L298" s="26">
        <f>IF(H298&lt;&gt;"",H298*K298,"")</f>
        <v>24.616800000000005</v>
      </c>
      <c r="M298" s="32" t="s">
        <v>138</v>
      </c>
      <c r="N298" s="135"/>
    </row>
    <row r="299" spans="2:14">
      <c r="B299" s="31" t="s">
        <v>11</v>
      </c>
      <c r="C299" s="25" t="s">
        <v>13</v>
      </c>
      <c r="D299" s="12">
        <v>6</v>
      </c>
      <c r="E299" s="3">
        <f>VLOOKUP(D299,Dane!$A$1:$B$13,2)</f>
        <v>0.222</v>
      </c>
      <c r="F299" s="158">
        <v>92</v>
      </c>
      <c r="G299" s="158"/>
      <c r="H299" s="159">
        <v>35</v>
      </c>
      <c r="I299" s="160"/>
      <c r="J299" s="29" t="s">
        <v>18</v>
      </c>
      <c r="K299" s="14">
        <f>IF(H299&lt;&gt;"",(E299*F299*0.01),"")</f>
        <v>0.20424</v>
      </c>
      <c r="L299" s="24">
        <f>IF(H299&lt;&gt;"",H299*K299,"")</f>
        <v>7.1484000000000005</v>
      </c>
      <c r="M299" s="33" t="s">
        <v>128</v>
      </c>
      <c r="N299" s="135"/>
    </row>
    <row r="300" spans="2:14">
      <c r="B300" s="31" t="s">
        <v>12</v>
      </c>
      <c r="C300" s="25" t="s">
        <v>13</v>
      </c>
      <c r="D300" s="12">
        <v>16</v>
      </c>
      <c r="E300" s="3">
        <f>VLOOKUP(D300,Dane!$A$1:$B$13,2)</f>
        <v>1.5780000000000001</v>
      </c>
      <c r="F300" s="158">
        <v>444</v>
      </c>
      <c r="G300" s="158"/>
      <c r="H300" s="159">
        <v>4</v>
      </c>
      <c r="I300" s="160"/>
      <c r="J300" s="29" t="s">
        <v>18</v>
      </c>
      <c r="K300" s="14">
        <f>IF(H300&lt;&gt;"",(E300*F300*0.01),"")</f>
        <v>7.0063200000000005</v>
      </c>
      <c r="L300" s="24">
        <f>IF(H300&lt;&gt;"",H300*K300,"")</f>
        <v>28.025280000000002</v>
      </c>
      <c r="M300" s="237" t="s">
        <v>141</v>
      </c>
      <c r="N300" s="135"/>
    </row>
    <row r="301" spans="2:14">
      <c r="B301" s="34"/>
      <c r="C301" s="178" t="s">
        <v>1</v>
      </c>
      <c r="D301" s="178"/>
      <c r="E301" s="179" t="s">
        <v>8</v>
      </c>
      <c r="F301" s="179"/>
      <c r="G301" s="35" t="s">
        <v>15</v>
      </c>
      <c r="H301" s="36">
        <v>1</v>
      </c>
      <c r="I301" s="37"/>
      <c r="J301" s="38"/>
      <c r="K301" s="39"/>
      <c r="L301" s="39" t="str">
        <f>IF(SUM(L298:L300)=E304,"","BŁĄD")</f>
        <v/>
      </c>
      <c r="M301" s="38"/>
      <c r="N301" s="135"/>
    </row>
    <row r="302" spans="2:14">
      <c r="B302" s="6"/>
      <c r="C302" s="25" t="s">
        <v>13</v>
      </c>
      <c r="D302" s="12">
        <v>16</v>
      </c>
      <c r="E302" s="145">
        <f>IF(D302&lt;&gt;"",SUMIF(D298:D300,D302,L298:L300),"")</f>
        <v>52.642080000000007</v>
      </c>
      <c r="F302" s="7" t="str">
        <f>IF(E302&lt;&gt;"","kg","")</f>
        <v>kg</v>
      </c>
      <c r="G302" s="227">
        <f>E302*H301</f>
        <v>52.642080000000007</v>
      </c>
      <c r="H302" s="228"/>
      <c r="I302" s="16" t="s">
        <v>108</v>
      </c>
      <c r="N302" s="135"/>
    </row>
    <row r="303" spans="2:14">
      <c r="B303" s="6"/>
      <c r="C303" s="25" t="s">
        <v>13</v>
      </c>
      <c r="D303" s="12">
        <v>6</v>
      </c>
      <c r="E303" s="147">
        <f>IF(D303&lt;&gt;"",SUMIF(D298:D300,D303,L298:L300),"")</f>
        <v>7.1484000000000005</v>
      </c>
      <c r="F303" s="7" t="str">
        <f>IF(E303&lt;&gt;"","kg","")</f>
        <v>kg</v>
      </c>
      <c r="G303" s="229">
        <f>E303*H301</f>
        <v>7.1484000000000005</v>
      </c>
      <c r="H303" s="229"/>
      <c r="I303" s="16" t="s">
        <v>108</v>
      </c>
      <c r="N303" s="135"/>
    </row>
    <row r="304" spans="2:14">
      <c r="B304" s="6"/>
      <c r="C304" s="17"/>
      <c r="D304" s="18" t="s">
        <v>9</v>
      </c>
      <c r="E304" s="41">
        <f>SUM(E302:E303)</f>
        <v>59.790480000000009</v>
      </c>
      <c r="F304" s="19" t="s">
        <v>108</v>
      </c>
      <c r="G304" s="226">
        <f>SUM(G302:H303)</f>
        <v>59.790480000000009</v>
      </c>
      <c r="H304" s="226"/>
      <c r="I304" s="20" t="s">
        <v>108</v>
      </c>
      <c r="N304" s="135"/>
    </row>
    <row r="305" spans="2:14">
      <c r="D305" s="48"/>
      <c r="E305" s="146"/>
      <c r="F305" s="49"/>
      <c r="G305" s="50"/>
      <c r="H305" s="50"/>
      <c r="I305" s="40"/>
    </row>
    <row r="306" spans="2:14">
      <c r="B306" s="184" t="s">
        <v>168</v>
      </c>
      <c r="C306" s="184"/>
      <c r="D306" s="184"/>
      <c r="E306" s="184"/>
      <c r="F306" s="184"/>
      <c r="G306" s="184"/>
      <c r="H306" s="184"/>
      <c r="I306" s="184"/>
      <c r="J306" s="184"/>
      <c r="K306" s="184"/>
      <c r="L306" s="184"/>
      <c r="M306" s="184"/>
      <c r="N306" s="135"/>
    </row>
    <row r="307" spans="2:14">
      <c r="B307" s="185" t="s">
        <v>0</v>
      </c>
      <c r="C307" s="186" t="s">
        <v>1</v>
      </c>
      <c r="D307" s="186"/>
      <c r="E307" s="187" t="s">
        <v>2</v>
      </c>
      <c r="F307" s="187" t="s">
        <v>16</v>
      </c>
      <c r="G307" s="187"/>
      <c r="H307" s="188" t="s">
        <v>4</v>
      </c>
      <c r="I307" s="188"/>
      <c r="J307" s="189" t="s">
        <v>5</v>
      </c>
      <c r="K307" s="191" t="s">
        <v>123</v>
      </c>
      <c r="L307" s="191"/>
      <c r="M307" s="192" t="s">
        <v>14</v>
      </c>
      <c r="N307" s="135"/>
    </row>
    <row r="308" spans="2:14">
      <c r="B308" s="185"/>
      <c r="C308" s="186"/>
      <c r="D308" s="186"/>
      <c r="E308" s="187"/>
      <c r="F308" s="187"/>
      <c r="G308" s="187"/>
      <c r="H308" s="188"/>
      <c r="I308" s="188"/>
      <c r="J308" s="190"/>
      <c r="K308" s="21" t="s">
        <v>6</v>
      </c>
      <c r="L308" s="22" t="s">
        <v>7</v>
      </c>
      <c r="M308" s="192"/>
      <c r="N308" s="135"/>
    </row>
    <row r="309" spans="2:14">
      <c r="B309" s="31" t="s">
        <v>10</v>
      </c>
      <c r="C309" s="25" t="s">
        <v>13</v>
      </c>
      <c r="D309" s="12">
        <v>16</v>
      </c>
      <c r="E309" s="3">
        <f>VLOOKUP(D309,Dane!$A$1:$B$13,2)</f>
        <v>1.5780000000000001</v>
      </c>
      <c r="F309" s="158">
        <v>455</v>
      </c>
      <c r="G309" s="158"/>
      <c r="H309" s="173">
        <v>4</v>
      </c>
      <c r="I309" s="174"/>
      <c r="J309" s="29" t="s">
        <v>18</v>
      </c>
      <c r="K309" s="14">
        <f>IF(H309&lt;&gt;"",(E309*F309*0.01),"")</f>
        <v>7.1798999999999999</v>
      </c>
      <c r="L309" s="26">
        <f>IF(H309&lt;&gt;"",H309*K309,"")</f>
        <v>28.7196</v>
      </c>
      <c r="M309" s="32" t="s">
        <v>138</v>
      </c>
      <c r="N309" s="135"/>
    </row>
    <row r="310" spans="2:14">
      <c r="B310" s="31" t="s">
        <v>11</v>
      </c>
      <c r="C310" s="25" t="s">
        <v>13</v>
      </c>
      <c r="D310" s="12">
        <v>6</v>
      </c>
      <c r="E310" s="3">
        <f>VLOOKUP(D310,Dane!$A$1:$B$13,2)</f>
        <v>0.222</v>
      </c>
      <c r="F310" s="158">
        <v>92</v>
      </c>
      <c r="G310" s="158"/>
      <c r="H310" s="159">
        <v>37</v>
      </c>
      <c r="I310" s="160"/>
      <c r="J310" s="29" t="s">
        <v>18</v>
      </c>
      <c r="K310" s="14">
        <f>IF(H310&lt;&gt;"",(E310*F310*0.01),"")</f>
        <v>0.20424</v>
      </c>
      <c r="L310" s="24">
        <f>IF(H310&lt;&gt;"",H310*K310,"")</f>
        <v>7.5568800000000005</v>
      </c>
      <c r="M310" s="33" t="s">
        <v>128</v>
      </c>
      <c r="N310" s="135"/>
    </row>
    <row r="311" spans="2:14">
      <c r="B311" s="31" t="s">
        <v>12</v>
      </c>
      <c r="C311" s="25" t="s">
        <v>13</v>
      </c>
      <c r="D311" s="12">
        <v>16</v>
      </c>
      <c r="E311" s="3">
        <f>VLOOKUP(D311,Dane!$A$1:$B$13,2)</f>
        <v>1.5780000000000001</v>
      </c>
      <c r="F311" s="158">
        <v>464</v>
      </c>
      <c r="G311" s="158"/>
      <c r="H311" s="159">
        <v>4</v>
      </c>
      <c r="I311" s="160"/>
      <c r="J311" s="29" t="s">
        <v>18</v>
      </c>
      <c r="K311" s="14">
        <f>IF(H311&lt;&gt;"",(E311*F311*0.01),"")</f>
        <v>7.3219200000000004</v>
      </c>
      <c r="L311" s="24">
        <f>IF(H311&lt;&gt;"",H311*K311,"")</f>
        <v>29.287680000000002</v>
      </c>
      <c r="M311" s="237" t="s">
        <v>141</v>
      </c>
      <c r="N311" s="135"/>
    </row>
    <row r="312" spans="2:14">
      <c r="B312" s="34"/>
      <c r="C312" s="178" t="s">
        <v>1</v>
      </c>
      <c r="D312" s="178"/>
      <c r="E312" s="179" t="s">
        <v>8</v>
      </c>
      <c r="F312" s="179"/>
      <c r="G312" s="35" t="s">
        <v>15</v>
      </c>
      <c r="H312" s="36">
        <v>1</v>
      </c>
      <c r="I312" s="37"/>
      <c r="J312" s="38"/>
      <c r="K312" s="39"/>
      <c r="L312" s="39" t="str">
        <f>IF(SUM(L309:L311)=E315,"","BŁĄD")</f>
        <v/>
      </c>
      <c r="M312" s="38"/>
      <c r="N312" s="135"/>
    </row>
    <row r="313" spans="2:14">
      <c r="B313" s="6"/>
      <c r="C313" s="25" t="s">
        <v>13</v>
      </c>
      <c r="D313" s="12">
        <v>16</v>
      </c>
      <c r="E313" s="145">
        <f>IF(D313&lt;&gt;"",SUMIF(D309:D311,D313,L309:L311),"")</f>
        <v>58.007280000000002</v>
      </c>
      <c r="F313" s="7" t="str">
        <f>IF(E313&lt;&gt;"","kg","")</f>
        <v>kg</v>
      </c>
      <c r="G313" s="227">
        <f>E313*H312</f>
        <v>58.007280000000002</v>
      </c>
      <c r="H313" s="228"/>
      <c r="I313" s="16" t="s">
        <v>108</v>
      </c>
      <c r="N313" s="135"/>
    </row>
    <row r="314" spans="2:14">
      <c r="B314" s="6"/>
      <c r="C314" s="25" t="s">
        <v>13</v>
      </c>
      <c r="D314" s="12">
        <v>6</v>
      </c>
      <c r="E314" s="147">
        <f>IF(D314&lt;&gt;"",SUMIF(D309:D311,D314,L309:L311),"")</f>
        <v>7.5568800000000005</v>
      </c>
      <c r="F314" s="7" t="str">
        <f>IF(E314&lt;&gt;"","kg","")</f>
        <v>kg</v>
      </c>
      <c r="G314" s="229">
        <f>E314*H312</f>
        <v>7.5568800000000005</v>
      </c>
      <c r="H314" s="229"/>
      <c r="I314" s="16" t="s">
        <v>108</v>
      </c>
      <c r="N314" s="135"/>
    </row>
    <row r="315" spans="2:14">
      <c r="B315" s="6"/>
      <c r="C315" s="17"/>
      <c r="D315" s="18" t="s">
        <v>9</v>
      </c>
      <c r="E315" s="41">
        <f>SUM(E313:E314)</f>
        <v>65.564160000000001</v>
      </c>
      <c r="F315" s="19" t="s">
        <v>108</v>
      </c>
      <c r="G315" s="226">
        <f>SUM(G313:H314)</f>
        <v>65.564160000000001</v>
      </c>
      <c r="H315" s="226"/>
      <c r="I315" s="20" t="s">
        <v>108</v>
      </c>
      <c r="N315" s="135"/>
    </row>
    <row r="316" spans="2:14">
      <c r="D316" s="48"/>
      <c r="E316" s="146"/>
      <c r="F316" s="49"/>
      <c r="G316" s="50"/>
      <c r="H316" s="50"/>
      <c r="I316" s="40"/>
    </row>
    <row r="317" spans="2:14">
      <c r="B317" s="184" t="s">
        <v>167</v>
      </c>
      <c r="C317" s="184"/>
      <c r="D317" s="184"/>
      <c r="E317" s="184"/>
      <c r="F317" s="184"/>
      <c r="G317" s="184"/>
      <c r="H317" s="184"/>
      <c r="I317" s="184"/>
      <c r="J317" s="184"/>
      <c r="K317" s="184"/>
      <c r="L317" s="184"/>
      <c r="M317" s="184"/>
      <c r="N317" s="135"/>
    </row>
    <row r="318" spans="2:14">
      <c r="B318" s="185" t="s">
        <v>0</v>
      </c>
      <c r="C318" s="186" t="s">
        <v>1</v>
      </c>
      <c r="D318" s="186"/>
      <c r="E318" s="187" t="s">
        <v>2</v>
      </c>
      <c r="F318" s="187" t="s">
        <v>16</v>
      </c>
      <c r="G318" s="187"/>
      <c r="H318" s="188" t="s">
        <v>4</v>
      </c>
      <c r="I318" s="188"/>
      <c r="J318" s="189" t="s">
        <v>5</v>
      </c>
      <c r="K318" s="191" t="s">
        <v>123</v>
      </c>
      <c r="L318" s="191"/>
      <c r="M318" s="192" t="s">
        <v>14</v>
      </c>
      <c r="N318" s="135"/>
    </row>
    <row r="319" spans="2:14">
      <c r="B319" s="185"/>
      <c r="C319" s="186"/>
      <c r="D319" s="186"/>
      <c r="E319" s="187"/>
      <c r="F319" s="187"/>
      <c r="G319" s="187"/>
      <c r="H319" s="188"/>
      <c r="I319" s="188"/>
      <c r="J319" s="190"/>
      <c r="K319" s="21" t="s">
        <v>6</v>
      </c>
      <c r="L319" s="22" t="s">
        <v>7</v>
      </c>
      <c r="M319" s="192"/>
      <c r="N319" s="135"/>
    </row>
    <row r="320" spans="2:14">
      <c r="B320" s="31" t="s">
        <v>10</v>
      </c>
      <c r="C320" s="25" t="s">
        <v>13</v>
      </c>
      <c r="D320" s="12">
        <v>16</v>
      </c>
      <c r="E320" s="3">
        <f>VLOOKUP(D320,Dane!$A$1:$B$13,2)</f>
        <v>1.5780000000000001</v>
      </c>
      <c r="F320" s="158">
        <v>480</v>
      </c>
      <c r="G320" s="158"/>
      <c r="H320" s="173">
        <v>4</v>
      </c>
      <c r="I320" s="174"/>
      <c r="J320" s="29" t="s">
        <v>18</v>
      </c>
      <c r="K320" s="14">
        <f>IF(H320&lt;&gt;"",(E320*F320*0.01),"")</f>
        <v>7.5744000000000007</v>
      </c>
      <c r="L320" s="26">
        <f>IF(H320&lt;&gt;"",H320*K320,"")</f>
        <v>30.297600000000003</v>
      </c>
      <c r="M320" s="32" t="s">
        <v>138</v>
      </c>
      <c r="N320" s="135"/>
    </row>
    <row r="321" spans="2:14">
      <c r="B321" s="31" t="s">
        <v>11</v>
      </c>
      <c r="C321" s="25" t="s">
        <v>13</v>
      </c>
      <c r="D321" s="12">
        <v>6</v>
      </c>
      <c r="E321" s="3">
        <f>VLOOKUP(D321,Dane!$A$1:$B$13,2)</f>
        <v>0.222</v>
      </c>
      <c r="F321" s="158">
        <v>92</v>
      </c>
      <c r="G321" s="158"/>
      <c r="H321" s="159">
        <v>30</v>
      </c>
      <c r="I321" s="160"/>
      <c r="J321" s="29" t="s">
        <v>18</v>
      </c>
      <c r="K321" s="14">
        <f>IF(H321&lt;&gt;"",(E321*F321*0.01),"")</f>
        <v>0.20424</v>
      </c>
      <c r="L321" s="24">
        <f>IF(H321&lt;&gt;"",H321*K321,"")</f>
        <v>6.1272000000000002</v>
      </c>
      <c r="M321" s="33" t="s">
        <v>128</v>
      </c>
      <c r="N321" s="135"/>
    </row>
    <row r="322" spans="2:14">
      <c r="B322" s="31" t="s">
        <v>12</v>
      </c>
      <c r="C322" s="25" t="s">
        <v>13</v>
      </c>
      <c r="D322" s="12">
        <v>16</v>
      </c>
      <c r="E322" s="3">
        <f>VLOOKUP(D322,Dane!$A$1:$B$13,2)</f>
        <v>1.5780000000000001</v>
      </c>
      <c r="F322" s="158">
        <v>254</v>
      </c>
      <c r="G322" s="158"/>
      <c r="H322" s="159">
        <v>4</v>
      </c>
      <c r="I322" s="160"/>
      <c r="J322" s="29" t="s">
        <v>18</v>
      </c>
      <c r="K322" s="14">
        <f>IF(H322&lt;&gt;"",(E322*F322*0.01),"")</f>
        <v>4.0081199999999999</v>
      </c>
      <c r="L322" s="24">
        <f>IF(H322&lt;&gt;"",H322*K322,"")</f>
        <v>16.03248</v>
      </c>
      <c r="M322" s="237" t="s">
        <v>141</v>
      </c>
      <c r="N322" s="135"/>
    </row>
    <row r="323" spans="2:14">
      <c r="B323" s="34"/>
      <c r="C323" s="178" t="s">
        <v>1</v>
      </c>
      <c r="D323" s="178"/>
      <c r="E323" s="179" t="s">
        <v>8</v>
      </c>
      <c r="F323" s="179"/>
      <c r="G323" s="35" t="s">
        <v>15</v>
      </c>
      <c r="H323" s="36">
        <v>2</v>
      </c>
      <c r="I323" s="37"/>
      <c r="J323" s="38"/>
      <c r="K323" s="39"/>
      <c r="L323" s="39" t="str">
        <f>IF(SUM(L320:L322)=E326,"","BŁĄD")</f>
        <v/>
      </c>
      <c r="M323" s="38"/>
      <c r="N323" s="135"/>
    </row>
    <row r="324" spans="2:14">
      <c r="B324" s="6"/>
      <c r="C324" s="25" t="s">
        <v>13</v>
      </c>
      <c r="D324" s="12">
        <v>16</v>
      </c>
      <c r="E324" s="145">
        <f>IF(D324&lt;&gt;"",SUMIF(D320:D322,D324,L320:L322),"")</f>
        <v>46.330080000000002</v>
      </c>
      <c r="F324" s="7" t="str">
        <f>IF(E324&lt;&gt;"","kg","")</f>
        <v>kg</v>
      </c>
      <c r="G324" s="227">
        <f>E324*H323</f>
        <v>92.660160000000005</v>
      </c>
      <c r="H324" s="228"/>
      <c r="I324" s="16" t="s">
        <v>108</v>
      </c>
      <c r="N324" s="135"/>
    </row>
    <row r="325" spans="2:14">
      <c r="B325" s="6"/>
      <c r="C325" s="25" t="s">
        <v>13</v>
      </c>
      <c r="D325" s="12">
        <v>6</v>
      </c>
      <c r="E325" s="147">
        <f>IF(D325&lt;&gt;"",SUMIF(D320:D322,D325,L320:L322),"")</f>
        <v>6.1272000000000002</v>
      </c>
      <c r="F325" s="7" t="str">
        <f>IF(E325&lt;&gt;"","kg","")</f>
        <v>kg</v>
      </c>
      <c r="G325" s="229">
        <f>E325*H323</f>
        <v>12.2544</v>
      </c>
      <c r="H325" s="229"/>
      <c r="I325" s="16" t="s">
        <v>108</v>
      </c>
      <c r="N325" s="135"/>
    </row>
    <row r="326" spans="2:14">
      <c r="B326" s="6"/>
      <c r="C326" s="17"/>
      <c r="D326" s="18" t="s">
        <v>9</v>
      </c>
      <c r="E326" s="41">
        <f>SUM(E324:E325)</f>
        <v>52.457280000000004</v>
      </c>
      <c r="F326" s="19" t="s">
        <v>108</v>
      </c>
      <c r="G326" s="226">
        <f>SUM(G324:H325)</f>
        <v>104.91456000000001</v>
      </c>
      <c r="H326" s="226"/>
      <c r="I326" s="20" t="s">
        <v>108</v>
      </c>
      <c r="N326" s="135"/>
    </row>
    <row r="327" spans="2:14">
      <c r="D327" s="48"/>
      <c r="E327" s="146"/>
      <c r="F327" s="49"/>
      <c r="G327" s="50"/>
      <c r="H327" s="50"/>
      <c r="I327" s="40"/>
    </row>
    <row r="328" spans="2:14">
      <c r="B328" s="184" t="s">
        <v>251</v>
      </c>
      <c r="C328" s="184"/>
      <c r="D328" s="184"/>
      <c r="E328" s="184"/>
      <c r="F328" s="184"/>
      <c r="G328" s="184"/>
      <c r="H328" s="184"/>
      <c r="I328" s="184"/>
      <c r="J328" s="184"/>
      <c r="K328" s="184"/>
      <c r="L328" s="184"/>
      <c r="M328" s="184"/>
      <c r="N328" s="135"/>
    </row>
    <row r="329" spans="2:14">
      <c r="B329" s="185" t="s">
        <v>0</v>
      </c>
      <c r="C329" s="186" t="s">
        <v>1</v>
      </c>
      <c r="D329" s="186"/>
      <c r="E329" s="187" t="s">
        <v>2</v>
      </c>
      <c r="F329" s="187" t="s">
        <v>16</v>
      </c>
      <c r="G329" s="187"/>
      <c r="H329" s="188" t="s">
        <v>4</v>
      </c>
      <c r="I329" s="188"/>
      <c r="J329" s="189" t="s">
        <v>5</v>
      </c>
      <c r="K329" s="191" t="s">
        <v>123</v>
      </c>
      <c r="L329" s="191"/>
      <c r="M329" s="192" t="s">
        <v>14</v>
      </c>
      <c r="N329" s="135"/>
    </row>
    <row r="330" spans="2:14">
      <c r="B330" s="185"/>
      <c r="C330" s="186"/>
      <c r="D330" s="186"/>
      <c r="E330" s="187"/>
      <c r="F330" s="187"/>
      <c r="G330" s="187"/>
      <c r="H330" s="188"/>
      <c r="I330" s="188"/>
      <c r="J330" s="190"/>
      <c r="K330" s="21" t="s">
        <v>6</v>
      </c>
      <c r="L330" s="22" t="s">
        <v>7</v>
      </c>
      <c r="M330" s="192"/>
      <c r="N330" s="135"/>
    </row>
    <row r="331" spans="2:14">
      <c r="B331" s="31" t="s">
        <v>10</v>
      </c>
      <c r="C331" s="25" t="s">
        <v>13</v>
      </c>
      <c r="D331" s="12">
        <v>16</v>
      </c>
      <c r="E331" s="3">
        <f>VLOOKUP(D331,Dane!$A$1:$B$13,2)</f>
        <v>1.5780000000000001</v>
      </c>
      <c r="F331" s="158">
        <v>410</v>
      </c>
      <c r="G331" s="158"/>
      <c r="H331" s="173">
        <v>4</v>
      </c>
      <c r="I331" s="174"/>
      <c r="J331" s="29" t="s">
        <v>18</v>
      </c>
      <c r="K331" s="14">
        <f>IF(H331&lt;&gt;"",(E331*F331*0.01),"")</f>
        <v>6.4698000000000002</v>
      </c>
      <c r="L331" s="26">
        <f>IF(H331&lt;&gt;"",H331*K331,"")</f>
        <v>25.879200000000001</v>
      </c>
      <c r="M331" s="32" t="s">
        <v>138</v>
      </c>
      <c r="N331" s="135"/>
    </row>
    <row r="332" spans="2:14">
      <c r="B332" s="31" t="s">
        <v>11</v>
      </c>
      <c r="C332" s="25" t="s">
        <v>13</v>
      </c>
      <c r="D332" s="12">
        <v>6</v>
      </c>
      <c r="E332" s="3">
        <f>VLOOKUP(D332,Dane!$A$1:$B$13,2)</f>
        <v>0.222</v>
      </c>
      <c r="F332" s="158">
        <v>92</v>
      </c>
      <c r="G332" s="158"/>
      <c r="H332" s="159">
        <v>29</v>
      </c>
      <c r="I332" s="160"/>
      <c r="J332" s="29" t="s">
        <v>18</v>
      </c>
      <c r="K332" s="14">
        <f>IF(H332&lt;&gt;"",(E332*F332*0.01),"")</f>
        <v>0.20424</v>
      </c>
      <c r="L332" s="24">
        <f>IF(H332&lt;&gt;"",H332*K332,"")</f>
        <v>5.9229599999999998</v>
      </c>
      <c r="M332" s="33" t="s">
        <v>128</v>
      </c>
      <c r="N332" s="135"/>
    </row>
    <row r="333" spans="2:14">
      <c r="B333" s="31" t="s">
        <v>12</v>
      </c>
      <c r="C333" s="25" t="s">
        <v>13</v>
      </c>
      <c r="D333" s="12">
        <v>16</v>
      </c>
      <c r="E333" s="3">
        <f>VLOOKUP(D333,Dane!$A$1:$B$13,2)</f>
        <v>1.5780000000000001</v>
      </c>
      <c r="F333" s="158">
        <v>234</v>
      </c>
      <c r="G333" s="158"/>
      <c r="H333" s="159">
        <v>4</v>
      </c>
      <c r="I333" s="160"/>
      <c r="J333" s="29" t="s">
        <v>18</v>
      </c>
      <c r="K333" s="14">
        <f>IF(H333&lt;&gt;"",(E333*F333*0.01),"")</f>
        <v>3.69252</v>
      </c>
      <c r="L333" s="24">
        <f>IF(H333&lt;&gt;"",H333*K333,"")</f>
        <v>14.77008</v>
      </c>
      <c r="M333" s="237" t="s">
        <v>141</v>
      </c>
      <c r="N333" s="135"/>
    </row>
    <row r="334" spans="2:14">
      <c r="B334" s="34"/>
      <c r="C334" s="178" t="s">
        <v>1</v>
      </c>
      <c r="D334" s="178"/>
      <c r="E334" s="179" t="s">
        <v>8</v>
      </c>
      <c r="F334" s="179"/>
      <c r="G334" s="35" t="s">
        <v>15</v>
      </c>
      <c r="H334" s="36">
        <v>1</v>
      </c>
      <c r="I334" s="37"/>
      <c r="J334" s="38"/>
      <c r="K334" s="39"/>
      <c r="L334" s="39" t="str">
        <f>IF(SUM(L331:L333)=E337,"","BŁĄD")</f>
        <v/>
      </c>
      <c r="M334" s="38"/>
      <c r="N334" s="135"/>
    </row>
    <row r="335" spans="2:14">
      <c r="B335" s="6"/>
      <c r="C335" s="25" t="s">
        <v>13</v>
      </c>
      <c r="D335" s="12">
        <v>16</v>
      </c>
      <c r="E335" s="145">
        <f>IF(D335&lt;&gt;"",SUMIF(D331:D333,D335,L331:L333),"")</f>
        <v>40.649280000000005</v>
      </c>
      <c r="F335" s="7" t="str">
        <f>IF(E335&lt;&gt;"","kg","")</f>
        <v>kg</v>
      </c>
      <c r="G335" s="227">
        <f>E335*H334</f>
        <v>40.649280000000005</v>
      </c>
      <c r="H335" s="228"/>
      <c r="I335" s="16" t="s">
        <v>108</v>
      </c>
      <c r="N335" s="135"/>
    </row>
    <row r="336" spans="2:14">
      <c r="B336" s="6"/>
      <c r="C336" s="25" t="s">
        <v>13</v>
      </c>
      <c r="D336" s="12">
        <v>6</v>
      </c>
      <c r="E336" s="147">
        <f>IF(D336&lt;&gt;"",SUMIF(D331:D333,D336,L331:L333),"")</f>
        <v>5.9229599999999998</v>
      </c>
      <c r="F336" s="7" t="str">
        <f>IF(E336&lt;&gt;"","kg","")</f>
        <v>kg</v>
      </c>
      <c r="G336" s="229">
        <f>E336*H334</f>
        <v>5.9229599999999998</v>
      </c>
      <c r="H336" s="229"/>
      <c r="I336" s="16" t="s">
        <v>108</v>
      </c>
      <c r="N336" s="135"/>
    </row>
    <row r="337" spans="2:14">
      <c r="B337" s="6"/>
      <c r="C337" s="17"/>
      <c r="D337" s="18" t="s">
        <v>9</v>
      </c>
      <c r="E337" s="41">
        <f>SUM(E335:E336)</f>
        <v>46.572240000000008</v>
      </c>
      <c r="F337" s="19" t="s">
        <v>108</v>
      </c>
      <c r="G337" s="226">
        <f>SUM(G335:H336)</f>
        <v>46.572240000000008</v>
      </c>
      <c r="H337" s="226"/>
      <c r="I337" s="20" t="s">
        <v>108</v>
      </c>
      <c r="N337" s="135"/>
    </row>
    <row r="338" spans="2:14">
      <c r="D338" s="48"/>
      <c r="E338" s="146"/>
      <c r="F338" s="49"/>
      <c r="G338" s="50"/>
      <c r="H338" s="50"/>
      <c r="I338" s="40"/>
    </row>
    <row r="339" spans="2:14">
      <c r="B339" s="184" t="s">
        <v>164</v>
      </c>
      <c r="C339" s="184"/>
      <c r="D339" s="184"/>
      <c r="E339" s="184"/>
      <c r="F339" s="184"/>
      <c r="G339" s="184"/>
      <c r="H339" s="184"/>
      <c r="I339" s="184"/>
      <c r="J339" s="184"/>
      <c r="K339" s="184"/>
      <c r="L339" s="184"/>
      <c r="M339" s="184"/>
      <c r="N339" s="135"/>
    </row>
    <row r="340" spans="2:14">
      <c r="B340" s="185" t="s">
        <v>0</v>
      </c>
      <c r="C340" s="186" t="s">
        <v>1</v>
      </c>
      <c r="D340" s="186"/>
      <c r="E340" s="187" t="s">
        <v>2</v>
      </c>
      <c r="F340" s="187" t="s">
        <v>16</v>
      </c>
      <c r="G340" s="187"/>
      <c r="H340" s="188" t="s">
        <v>4</v>
      </c>
      <c r="I340" s="188"/>
      <c r="J340" s="189" t="s">
        <v>5</v>
      </c>
      <c r="K340" s="191" t="s">
        <v>123</v>
      </c>
      <c r="L340" s="191"/>
      <c r="M340" s="192" t="s">
        <v>14</v>
      </c>
      <c r="N340" s="135"/>
    </row>
    <row r="341" spans="2:14">
      <c r="B341" s="185"/>
      <c r="C341" s="186"/>
      <c r="D341" s="186"/>
      <c r="E341" s="187"/>
      <c r="F341" s="187"/>
      <c r="G341" s="187"/>
      <c r="H341" s="188"/>
      <c r="I341" s="188"/>
      <c r="J341" s="190"/>
      <c r="K341" s="21" t="s">
        <v>6</v>
      </c>
      <c r="L341" s="22" t="s">
        <v>7</v>
      </c>
      <c r="M341" s="192"/>
      <c r="N341" s="135"/>
    </row>
    <row r="342" spans="2:14">
      <c r="B342" s="31" t="s">
        <v>10</v>
      </c>
      <c r="C342" s="25" t="s">
        <v>13</v>
      </c>
      <c r="D342" s="12">
        <v>16</v>
      </c>
      <c r="E342" s="3">
        <f>VLOOKUP(D342,Dane!$A$1:$B$13,2)</f>
        <v>1.5780000000000001</v>
      </c>
      <c r="F342" s="158">
        <v>472</v>
      </c>
      <c r="G342" s="158"/>
      <c r="H342" s="173">
        <v>4</v>
      </c>
      <c r="I342" s="174"/>
      <c r="J342" s="29" t="s">
        <v>18</v>
      </c>
      <c r="K342" s="14">
        <f>IF(H342&lt;&gt;"",(E342*F342*0.01),"")</f>
        <v>7.4481600000000006</v>
      </c>
      <c r="L342" s="26">
        <f>IF(H342&lt;&gt;"",H342*K342,"")</f>
        <v>29.792640000000002</v>
      </c>
      <c r="M342" s="32" t="s">
        <v>141</v>
      </c>
      <c r="N342" s="135"/>
    </row>
    <row r="343" spans="2:14">
      <c r="B343" s="31" t="s">
        <v>11</v>
      </c>
      <c r="C343" s="25" t="s">
        <v>13</v>
      </c>
      <c r="D343" s="12">
        <v>6</v>
      </c>
      <c r="E343" s="3">
        <f>VLOOKUP(D343,Dane!$A$1:$B$13,2)</f>
        <v>0.222</v>
      </c>
      <c r="F343" s="158">
        <v>92</v>
      </c>
      <c r="G343" s="158"/>
      <c r="H343" s="159">
        <v>20</v>
      </c>
      <c r="I343" s="160"/>
      <c r="J343" s="29" t="s">
        <v>18</v>
      </c>
      <c r="K343" s="14">
        <f>IF(H343&lt;&gt;"",(E343*F343*0.01),"")</f>
        <v>0.20424</v>
      </c>
      <c r="L343" s="24">
        <f>IF(H343&lt;&gt;"",H343*K343,"")</f>
        <v>4.0848000000000004</v>
      </c>
      <c r="M343" s="237" t="s">
        <v>128</v>
      </c>
      <c r="N343" s="135"/>
    </row>
    <row r="344" spans="2:14">
      <c r="B344" s="34"/>
      <c r="C344" s="178" t="s">
        <v>1</v>
      </c>
      <c r="D344" s="178"/>
      <c r="E344" s="179" t="s">
        <v>8</v>
      </c>
      <c r="F344" s="179"/>
      <c r="G344" s="35" t="s">
        <v>15</v>
      </c>
      <c r="H344" s="36">
        <v>1</v>
      </c>
      <c r="I344" s="37"/>
      <c r="J344" s="38"/>
      <c r="K344" s="39"/>
      <c r="L344" s="39" t="str">
        <f>IF(SUM(L342:L343)=E347,"","BŁĄD")</f>
        <v/>
      </c>
      <c r="M344" s="38"/>
      <c r="N344" s="135"/>
    </row>
    <row r="345" spans="2:14">
      <c r="B345" s="6"/>
      <c r="C345" s="25" t="s">
        <v>13</v>
      </c>
      <c r="D345" s="12">
        <v>16</v>
      </c>
      <c r="E345" s="145">
        <f>IF(D345&lt;&gt;"",SUMIF(D342:D343,D345,L342:L343),"")</f>
        <v>29.792640000000002</v>
      </c>
      <c r="F345" s="7" t="str">
        <f>IF(E345&lt;&gt;"","kg","")</f>
        <v>kg</v>
      </c>
      <c r="G345" s="227">
        <f>E345*H344</f>
        <v>29.792640000000002</v>
      </c>
      <c r="H345" s="228"/>
      <c r="I345" s="16" t="s">
        <v>108</v>
      </c>
      <c r="N345" s="135"/>
    </row>
    <row r="346" spans="2:14">
      <c r="B346" s="6"/>
      <c r="C346" s="25" t="s">
        <v>13</v>
      </c>
      <c r="D346" s="12">
        <v>6</v>
      </c>
      <c r="E346" s="147">
        <f>IF(D346&lt;&gt;"",SUMIF(D342:D343,D346,L342:L343),"")</f>
        <v>4.0848000000000004</v>
      </c>
      <c r="F346" s="7" t="str">
        <f>IF(E346&lt;&gt;"","kg","")</f>
        <v>kg</v>
      </c>
      <c r="G346" s="229">
        <f>E346*H344</f>
        <v>4.0848000000000004</v>
      </c>
      <c r="H346" s="229"/>
      <c r="I346" s="16" t="s">
        <v>108</v>
      </c>
      <c r="N346" s="135"/>
    </row>
    <row r="347" spans="2:14">
      <c r="B347" s="6"/>
      <c r="C347" s="17"/>
      <c r="D347" s="18" t="s">
        <v>9</v>
      </c>
      <c r="E347" s="41">
        <f>SUM(E345:E346)</f>
        <v>33.87744</v>
      </c>
      <c r="F347" s="19" t="s">
        <v>108</v>
      </c>
      <c r="G347" s="226">
        <f>SUM(G345:H346)</f>
        <v>33.87744</v>
      </c>
      <c r="H347" s="226"/>
      <c r="I347" s="20" t="s">
        <v>108</v>
      </c>
      <c r="N347" s="135"/>
    </row>
    <row r="348" spans="2:14">
      <c r="D348" s="48"/>
      <c r="E348" s="146"/>
      <c r="F348" s="49"/>
      <c r="G348" s="50"/>
      <c r="H348" s="50"/>
      <c r="I348" s="40"/>
    </row>
    <row r="349" spans="2:14">
      <c r="B349" s="184" t="s">
        <v>165</v>
      </c>
      <c r="C349" s="184"/>
      <c r="D349" s="184"/>
      <c r="E349" s="184"/>
      <c r="F349" s="184"/>
      <c r="G349" s="184"/>
      <c r="H349" s="184"/>
      <c r="I349" s="184"/>
      <c r="J349" s="184"/>
      <c r="K349" s="184"/>
      <c r="L349" s="184"/>
      <c r="M349" s="184"/>
      <c r="N349" s="135"/>
    </row>
    <row r="350" spans="2:14">
      <c r="B350" s="185" t="s">
        <v>0</v>
      </c>
      <c r="C350" s="186" t="s">
        <v>1</v>
      </c>
      <c r="D350" s="186"/>
      <c r="E350" s="187" t="s">
        <v>2</v>
      </c>
      <c r="F350" s="187" t="s">
        <v>16</v>
      </c>
      <c r="G350" s="187"/>
      <c r="H350" s="188" t="s">
        <v>4</v>
      </c>
      <c r="I350" s="188"/>
      <c r="J350" s="189" t="s">
        <v>5</v>
      </c>
      <c r="K350" s="191" t="s">
        <v>123</v>
      </c>
      <c r="L350" s="191"/>
      <c r="M350" s="192" t="s">
        <v>14</v>
      </c>
      <c r="N350" s="135"/>
    </row>
    <row r="351" spans="2:14">
      <c r="B351" s="185"/>
      <c r="C351" s="186"/>
      <c r="D351" s="186"/>
      <c r="E351" s="187"/>
      <c r="F351" s="187"/>
      <c r="G351" s="187"/>
      <c r="H351" s="188"/>
      <c r="I351" s="188"/>
      <c r="J351" s="190"/>
      <c r="K351" s="21" t="s">
        <v>6</v>
      </c>
      <c r="L351" s="22" t="s">
        <v>7</v>
      </c>
      <c r="M351" s="192"/>
      <c r="N351" s="135"/>
    </row>
    <row r="352" spans="2:14">
      <c r="B352" s="31" t="s">
        <v>10</v>
      </c>
      <c r="C352" s="25" t="s">
        <v>13</v>
      </c>
      <c r="D352" s="12">
        <v>16</v>
      </c>
      <c r="E352" s="3">
        <f>VLOOKUP(D352,Dane!$A$1:$B$13,2)</f>
        <v>1.5780000000000001</v>
      </c>
      <c r="F352" s="158">
        <v>632</v>
      </c>
      <c r="G352" s="158"/>
      <c r="H352" s="173">
        <v>4</v>
      </c>
      <c r="I352" s="174"/>
      <c r="J352" s="29" t="s">
        <v>18</v>
      </c>
      <c r="K352" s="14">
        <f>IF(H352&lt;&gt;"",(E352*F352*0.01),"")</f>
        <v>9.9729600000000005</v>
      </c>
      <c r="L352" s="26">
        <f>IF(H352&lt;&gt;"",H352*K352,"")</f>
        <v>39.891840000000002</v>
      </c>
      <c r="M352" s="32" t="s">
        <v>141</v>
      </c>
      <c r="N352" s="135"/>
    </row>
    <row r="353" spans="2:14">
      <c r="B353" s="31" t="s">
        <v>11</v>
      </c>
      <c r="C353" s="25" t="s">
        <v>13</v>
      </c>
      <c r="D353" s="12">
        <v>6</v>
      </c>
      <c r="E353" s="3">
        <f>VLOOKUP(D353,Dane!$A$1:$B$13,2)</f>
        <v>0.222</v>
      </c>
      <c r="F353" s="158">
        <v>92</v>
      </c>
      <c r="G353" s="158"/>
      <c r="H353" s="159">
        <v>26</v>
      </c>
      <c r="I353" s="160"/>
      <c r="J353" s="29" t="s">
        <v>18</v>
      </c>
      <c r="K353" s="14">
        <f>IF(H353&lt;&gt;"",(E353*F353*0.01),"")</f>
        <v>0.20424</v>
      </c>
      <c r="L353" s="24">
        <f>IF(H353&lt;&gt;"",H353*K353,"")</f>
        <v>5.3102400000000003</v>
      </c>
      <c r="M353" s="237" t="s">
        <v>128</v>
      </c>
      <c r="N353" s="135"/>
    </row>
    <row r="354" spans="2:14">
      <c r="B354" s="34"/>
      <c r="C354" s="178" t="s">
        <v>1</v>
      </c>
      <c r="D354" s="178"/>
      <c r="E354" s="179" t="s">
        <v>8</v>
      </c>
      <c r="F354" s="179"/>
      <c r="G354" s="35" t="s">
        <v>15</v>
      </c>
      <c r="H354" s="36">
        <v>1</v>
      </c>
      <c r="I354" s="37"/>
      <c r="J354" s="38"/>
      <c r="K354" s="39"/>
      <c r="L354" s="39" t="str">
        <f>IF(SUM(L352:L353)=E357,"","BŁĄD")</f>
        <v/>
      </c>
      <c r="M354" s="38"/>
      <c r="N354" s="135"/>
    </row>
    <row r="355" spans="2:14">
      <c r="B355" s="6"/>
      <c r="C355" s="25" t="s">
        <v>13</v>
      </c>
      <c r="D355" s="12">
        <v>16</v>
      </c>
      <c r="E355" s="145">
        <f>IF(D355&lt;&gt;"",SUMIF(D352:D353,D355,L352:L353),"")</f>
        <v>39.891840000000002</v>
      </c>
      <c r="F355" s="7" t="str">
        <f>IF(E355&lt;&gt;"","kg","")</f>
        <v>kg</v>
      </c>
      <c r="G355" s="227">
        <f>E355*H354</f>
        <v>39.891840000000002</v>
      </c>
      <c r="H355" s="228"/>
      <c r="I355" s="16" t="s">
        <v>108</v>
      </c>
      <c r="N355" s="135"/>
    </row>
    <row r="356" spans="2:14">
      <c r="B356" s="6"/>
      <c r="C356" s="25" t="s">
        <v>13</v>
      </c>
      <c r="D356" s="12">
        <v>6</v>
      </c>
      <c r="E356" s="147">
        <f>IF(D356&lt;&gt;"",SUMIF(D352:D353,D356,L352:L353),"")</f>
        <v>5.3102400000000003</v>
      </c>
      <c r="F356" s="7" t="str">
        <f>IF(E356&lt;&gt;"","kg","")</f>
        <v>kg</v>
      </c>
      <c r="G356" s="229">
        <f>E356*H354</f>
        <v>5.3102400000000003</v>
      </c>
      <c r="H356" s="229"/>
      <c r="I356" s="16" t="s">
        <v>108</v>
      </c>
      <c r="N356" s="135"/>
    </row>
    <row r="357" spans="2:14">
      <c r="B357" s="6"/>
      <c r="C357" s="17"/>
      <c r="D357" s="18" t="s">
        <v>9</v>
      </c>
      <c r="E357" s="41">
        <f>SUM(E355:E356)</f>
        <v>45.202080000000002</v>
      </c>
      <c r="F357" s="19" t="s">
        <v>108</v>
      </c>
      <c r="G357" s="226">
        <f>SUM(G355:H356)</f>
        <v>45.202080000000002</v>
      </c>
      <c r="H357" s="226"/>
      <c r="I357" s="20" t="s">
        <v>108</v>
      </c>
      <c r="N357" s="135"/>
    </row>
    <row r="358" spans="2:14">
      <c r="D358" s="48"/>
      <c r="E358" s="146"/>
      <c r="F358" s="49"/>
      <c r="G358" s="50"/>
      <c r="H358" s="50"/>
      <c r="I358" s="40"/>
    </row>
    <row r="359" spans="2:14">
      <c r="B359" s="184" t="s">
        <v>166</v>
      </c>
      <c r="C359" s="184"/>
      <c r="D359" s="184"/>
      <c r="E359" s="184"/>
      <c r="F359" s="184"/>
      <c r="G359" s="184"/>
      <c r="H359" s="184"/>
      <c r="I359" s="184"/>
      <c r="J359" s="184"/>
      <c r="K359" s="184"/>
      <c r="L359" s="184"/>
      <c r="M359" s="184"/>
      <c r="N359" s="135"/>
    </row>
    <row r="360" spans="2:14">
      <c r="B360" s="185" t="s">
        <v>0</v>
      </c>
      <c r="C360" s="186" t="s">
        <v>1</v>
      </c>
      <c r="D360" s="186"/>
      <c r="E360" s="187" t="s">
        <v>2</v>
      </c>
      <c r="F360" s="187" t="s">
        <v>16</v>
      </c>
      <c r="G360" s="187"/>
      <c r="H360" s="188" t="s">
        <v>4</v>
      </c>
      <c r="I360" s="188"/>
      <c r="J360" s="189" t="s">
        <v>5</v>
      </c>
      <c r="K360" s="191" t="s">
        <v>123</v>
      </c>
      <c r="L360" s="191"/>
      <c r="M360" s="192" t="s">
        <v>14</v>
      </c>
      <c r="N360" s="135"/>
    </row>
    <row r="361" spans="2:14">
      <c r="B361" s="185"/>
      <c r="C361" s="186"/>
      <c r="D361" s="186"/>
      <c r="E361" s="187"/>
      <c r="F361" s="187"/>
      <c r="G361" s="187"/>
      <c r="H361" s="188"/>
      <c r="I361" s="188"/>
      <c r="J361" s="190"/>
      <c r="K361" s="21" t="s">
        <v>6</v>
      </c>
      <c r="L361" s="22" t="s">
        <v>7</v>
      </c>
      <c r="M361" s="192"/>
      <c r="N361" s="135"/>
    </row>
    <row r="362" spans="2:14">
      <c r="B362" s="31" t="s">
        <v>10</v>
      </c>
      <c r="C362" s="25" t="s">
        <v>13</v>
      </c>
      <c r="D362" s="12">
        <v>16</v>
      </c>
      <c r="E362" s="3">
        <f>VLOOKUP(D362,Dane!$A$1:$B$13,2)</f>
        <v>1.5780000000000001</v>
      </c>
      <c r="F362" s="158">
        <v>542</v>
      </c>
      <c r="G362" s="158"/>
      <c r="H362" s="173">
        <v>4</v>
      </c>
      <c r="I362" s="174"/>
      <c r="J362" s="29" t="s">
        <v>18</v>
      </c>
      <c r="K362" s="14">
        <f>IF(H362&lt;&gt;"",(E362*F362*0.01),"")</f>
        <v>8.552760000000001</v>
      </c>
      <c r="L362" s="26">
        <f>IF(H362&lt;&gt;"",H362*K362,"")</f>
        <v>34.211040000000004</v>
      </c>
      <c r="M362" s="32" t="s">
        <v>141</v>
      </c>
      <c r="N362" s="135"/>
    </row>
    <row r="363" spans="2:14">
      <c r="B363" s="31" t="s">
        <v>11</v>
      </c>
      <c r="C363" s="25" t="s">
        <v>13</v>
      </c>
      <c r="D363" s="12">
        <v>6</v>
      </c>
      <c r="E363" s="3">
        <f>VLOOKUP(D363,Dane!$A$1:$B$13,2)</f>
        <v>0.222</v>
      </c>
      <c r="F363" s="158">
        <v>92</v>
      </c>
      <c r="G363" s="158"/>
      <c r="H363" s="159">
        <v>23</v>
      </c>
      <c r="I363" s="160"/>
      <c r="J363" s="29" t="s">
        <v>18</v>
      </c>
      <c r="K363" s="14">
        <f>IF(H363&lt;&gt;"",(E363*F363*0.01),"")</f>
        <v>0.20424</v>
      </c>
      <c r="L363" s="24">
        <f>IF(H363&lt;&gt;"",H363*K363,"")</f>
        <v>4.6975199999999999</v>
      </c>
      <c r="M363" s="237" t="s">
        <v>128</v>
      </c>
      <c r="N363" s="135"/>
    </row>
    <row r="364" spans="2:14">
      <c r="B364" s="34"/>
      <c r="C364" s="178" t="s">
        <v>1</v>
      </c>
      <c r="D364" s="178"/>
      <c r="E364" s="179" t="s">
        <v>8</v>
      </c>
      <c r="F364" s="179"/>
      <c r="G364" s="35" t="s">
        <v>15</v>
      </c>
      <c r="H364" s="36">
        <v>1</v>
      </c>
      <c r="I364" s="37"/>
      <c r="J364" s="38"/>
      <c r="K364" s="39"/>
      <c r="L364" s="39" t="str">
        <f>IF(SUM(L362:L363)=E367,"","BŁĄD")</f>
        <v/>
      </c>
      <c r="M364" s="38"/>
      <c r="N364" s="135"/>
    </row>
    <row r="365" spans="2:14">
      <c r="B365" s="6"/>
      <c r="C365" s="25" t="s">
        <v>13</v>
      </c>
      <c r="D365" s="12">
        <v>16</v>
      </c>
      <c r="E365" s="145">
        <f>IF(D365&lt;&gt;"",SUMIF(D362:D363,D365,L362:L363),"")</f>
        <v>34.211040000000004</v>
      </c>
      <c r="F365" s="7" t="str">
        <f>IF(E365&lt;&gt;"","kg","")</f>
        <v>kg</v>
      </c>
      <c r="G365" s="227">
        <f>E365*H364</f>
        <v>34.211040000000004</v>
      </c>
      <c r="H365" s="228"/>
      <c r="I365" s="16" t="s">
        <v>108</v>
      </c>
      <c r="N365" s="135"/>
    </row>
    <row r="366" spans="2:14">
      <c r="B366" s="6"/>
      <c r="C366" s="25" t="s">
        <v>13</v>
      </c>
      <c r="D366" s="12">
        <v>6</v>
      </c>
      <c r="E366" s="147">
        <f>IF(D366&lt;&gt;"",SUMIF(D362:D363,D366,L362:L363),"")</f>
        <v>4.6975199999999999</v>
      </c>
      <c r="F366" s="7" t="str">
        <f>IF(E366&lt;&gt;"","kg","")</f>
        <v>kg</v>
      </c>
      <c r="G366" s="229">
        <f>E366*H364</f>
        <v>4.6975199999999999</v>
      </c>
      <c r="H366" s="229"/>
      <c r="I366" s="16" t="s">
        <v>108</v>
      </c>
      <c r="N366" s="135"/>
    </row>
    <row r="367" spans="2:14">
      <c r="B367" s="6"/>
      <c r="C367" s="17"/>
      <c r="D367" s="18" t="s">
        <v>9</v>
      </c>
      <c r="E367" s="41">
        <f>SUM(E365:E366)</f>
        <v>38.908560000000001</v>
      </c>
      <c r="F367" s="19" t="s">
        <v>108</v>
      </c>
      <c r="G367" s="226">
        <f>SUM(G365:H366)</f>
        <v>38.908560000000001</v>
      </c>
      <c r="H367" s="226"/>
      <c r="I367" s="20" t="s">
        <v>108</v>
      </c>
      <c r="N367" s="135"/>
    </row>
    <row r="368" spans="2:14">
      <c r="D368" s="48"/>
      <c r="E368" s="146"/>
      <c r="F368" s="49"/>
      <c r="G368" s="50"/>
      <c r="H368" s="50"/>
      <c r="I368" s="40"/>
    </row>
    <row r="369" spans="2:14">
      <c r="B369" s="184" t="s">
        <v>163</v>
      </c>
      <c r="C369" s="184"/>
      <c r="D369" s="184"/>
      <c r="E369" s="184"/>
      <c r="F369" s="184"/>
      <c r="G369" s="184"/>
      <c r="H369" s="184"/>
      <c r="I369" s="184"/>
      <c r="J369" s="184"/>
      <c r="K369" s="184"/>
      <c r="L369" s="184"/>
      <c r="M369" s="184"/>
      <c r="N369" s="135"/>
    </row>
    <row r="370" spans="2:14">
      <c r="B370" s="185" t="s">
        <v>0</v>
      </c>
      <c r="C370" s="186" t="s">
        <v>1</v>
      </c>
      <c r="D370" s="186"/>
      <c r="E370" s="187" t="s">
        <v>2</v>
      </c>
      <c r="F370" s="187" t="s">
        <v>16</v>
      </c>
      <c r="G370" s="187"/>
      <c r="H370" s="188" t="s">
        <v>4</v>
      </c>
      <c r="I370" s="188"/>
      <c r="J370" s="189" t="s">
        <v>5</v>
      </c>
      <c r="K370" s="191" t="s">
        <v>123</v>
      </c>
      <c r="L370" s="191"/>
      <c r="M370" s="192" t="s">
        <v>14</v>
      </c>
      <c r="N370" s="135"/>
    </row>
    <row r="371" spans="2:14">
      <c r="B371" s="185"/>
      <c r="C371" s="186"/>
      <c r="D371" s="186"/>
      <c r="E371" s="187"/>
      <c r="F371" s="187"/>
      <c r="G371" s="187"/>
      <c r="H371" s="188"/>
      <c r="I371" s="188"/>
      <c r="J371" s="190"/>
      <c r="K371" s="21" t="s">
        <v>6</v>
      </c>
      <c r="L371" s="22" t="s">
        <v>7</v>
      </c>
      <c r="M371" s="192"/>
      <c r="N371" s="135"/>
    </row>
    <row r="372" spans="2:14">
      <c r="B372" s="31" t="s">
        <v>10</v>
      </c>
      <c r="C372" s="25" t="s">
        <v>13</v>
      </c>
      <c r="D372" s="12">
        <v>16</v>
      </c>
      <c r="E372" s="3">
        <f>VLOOKUP(D372,Dane!$A$1:$B$13,2)</f>
        <v>1.5780000000000001</v>
      </c>
      <c r="F372" s="158">
        <v>410</v>
      </c>
      <c r="G372" s="158"/>
      <c r="H372" s="173">
        <v>4</v>
      </c>
      <c r="I372" s="174"/>
      <c r="J372" s="29" t="s">
        <v>18</v>
      </c>
      <c r="K372" s="14">
        <f>IF(H372&lt;&gt;"",(E372*F372*0.01),"")</f>
        <v>6.4698000000000002</v>
      </c>
      <c r="L372" s="26">
        <f>IF(H372&lt;&gt;"",H372*K372,"")</f>
        <v>25.879200000000001</v>
      </c>
      <c r="M372" s="32" t="s">
        <v>138</v>
      </c>
      <c r="N372" s="135"/>
    </row>
    <row r="373" spans="2:14">
      <c r="B373" s="31" t="s">
        <v>11</v>
      </c>
      <c r="C373" s="25" t="s">
        <v>13</v>
      </c>
      <c r="D373" s="12">
        <v>6</v>
      </c>
      <c r="E373" s="3">
        <f>VLOOKUP(D373,Dane!$A$1:$B$13,2)</f>
        <v>0.222</v>
      </c>
      <c r="F373" s="158">
        <v>30</v>
      </c>
      <c r="G373" s="158"/>
      <c r="H373" s="159">
        <v>4</v>
      </c>
      <c r="I373" s="160"/>
      <c r="J373" s="29" t="s">
        <v>18</v>
      </c>
      <c r="K373" s="14">
        <f>IF(H373&lt;&gt;"",(E373*F373*0.01),"")</f>
        <v>6.6600000000000006E-2</v>
      </c>
      <c r="L373" s="24">
        <f>IF(H373&lt;&gt;"",H373*K373,"")</f>
        <v>0.26640000000000003</v>
      </c>
      <c r="M373" s="33" t="s">
        <v>128</v>
      </c>
      <c r="N373" s="135"/>
    </row>
    <row r="374" spans="2:14">
      <c r="B374" s="31" t="s">
        <v>12</v>
      </c>
      <c r="C374" s="25" t="s">
        <v>13</v>
      </c>
      <c r="D374" s="12">
        <v>16</v>
      </c>
      <c r="E374" s="3">
        <f>VLOOKUP(D374,Dane!$A$1:$B$13,2)</f>
        <v>1.5780000000000001</v>
      </c>
      <c r="F374" s="158">
        <v>312</v>
      </c>
      <c r="G374" s="158"/>
      <c r="H374" s="159">
        <v>4</v>
      </c>
      <c r="I374" s="160"/>
      <c r="J374" s="29" t="s">
        <v>18</v>
      </c>
      <c r="K374" s="14">
        <f>IF(H374&lt;&gt;"",(E374*F374*0.01),"")</f>
        <v>4.9233600000000006</v>
      </c>
      <c r="L374" s="24">
        <f>IF(H374&lt;&gt;"",H374*K374,"")</f>
        <v>19.693440000000002</v>
      </c>
      <c r="M374" s="237" t="s">
        <v>141</v>
      </c>
      <c r="N374" s="135"/>
    </row>
    <row r="375" spans="2:14">
      <c r="B375" s="34"/>
      <c r="C375" s="178" t="s">
        <v>1</v>
      </c>
      <c r="D375" s="178"/>
      <c r="E375" s="179" t="s">
        <v>8</v>
      </c>
      <c r="F375" s="179"/>
      <c r="G375" s="35" t="s">
        <v>15</v>
      </c>
      <c r="H375" s="36">
        <v>1</v>
      </c>
      <c r="I375" s="37"/>
      <c r="J375" s="38"/>
      <c r="K375" s="39"/>
      <c r="L375" s="39" t="str">
        <f>IF(SUM(L372:L374)=E378,"","BŁĄD")</f>
        <v/>
      </c>
      <c r="M375" s="38"/>
      <c r="N375" s="135"/>
    </row>
    <row r="376" spans="2:14">
      <c r="B376" s="6"/>
      <c r="C376" s="25" t="s">
        <v>13</v>
      </c>
      <c r="D376" s="12">
        <v>16</v>
      </c>
      <c r="E376" s="145">
        <f>IF(D376&lt;&gt;"",SUMIF(D372:D374,D376,L372:L374),"")</f>
        <v>45.572640000000007</v>
      </c>
      <c r="F376" s="7" t="str">
        <f>IF(E376&lt;&gt;"","kg","")</f>
        <v>kg</v>
      </c>
      <c r="G376" s="227">
        <f>E376*H375</f>
        <v>45.572640000000007</v>
      </c>
      <c r="H376" s="228"/>
      <c r="I376" s="16" t="s">
        <v>108</v>
      </c>
      <c r="N376" s="135"/>
    </row>
    <row r="377" spans="2:14">
      <c r="B377" s="6"/>
      <c r="C377" s="25" t="s">
        <v>13</v>
      </c>
      <c r="D377" s="12">
        <v>6</v>
      </c>
      <c r="E377" s="147">
        <f>IF(D377&lt;&gt;"",SUMIF(D372:D374,D377,L372:L374),"")</f>
        <v>0.26640000000000003</v>
      </c>
      <c r="F377" s="7" t="str">
        <f>IF(E377&lt;&gt;"","kg","")</f>
        <v>kg</v>
      </c>
      <c r="G377" s="229">
        <f>E377*H375</f>
        <v>0.26640000000000003</v>
      </c>
      <c r="H377" s="229"/>
      <c r="I377" s="16" t="s">
        <v>108</v>
      </c>
      <c r="N377" s="135"/>
    </row>
    <row r="378" spans="2:14">
      <c r="B378" s="6"/>
      <c r="C378" s="17"/>
      <c r="D378" s="18" t="s">
        <v>9</v>
      </c>
      <c r="E378" s="41">
        <f>SUM(E376:E377)</f>
        <v>45.839040000000004</v>
      </c>
      <c r="F378" s="19" t="s">
        <v>108</v>
      </c>
      <c r="G378" s="226">
        <f>SUM(G376:H377)</f>
        <v>45.839040000000004</v>
      </c>
      <c r="H378" s="226"/>
      <c r="I378" s="20" t="s">
        <v>108</v>
      </c>
      <c r="N378" s="135"/>
    </row>
    <row r="379" spans="2:14">
      <c r="D379" s="48"/>
      <c r="E379" s="146"/>
      <c r="F379" s="49"/>
      <c r="G379" s="50"/>
      <c r="H379" s="50"/>
      <c r="I379" s="40"/>
    </row>
    <row r="380" spans="2:14">
      <c r="B380" s="184" t="s">
        <v>162</v>
      </c>
      <c r="C380" s="184"/>
      <c r="D380" s="184"/>
      <c r="E380" s="184"/>
      <c r="F380" s="184"/>
      <c r="G380" s="184"/>
      <c r="H380" s="184"/>
      <c r="I380" s="184"/>
      <c r="J380" s="184"/>
      <c r="K380" s="184"/>
      <c r="L380" s="184"/>
      <c r="M380" s="184"/>
      <c r="N380" s="135"/>
    </row>
    <row r="381" spans="2:14">
      <c r="B381" s="185" t="s">
        <v>0</v>
      </c>
      <c r="C381" s="186" t="s">
        <v>1</v>
      </c>
      <c r="D381" s="186"/>
      <c r="E381" s="187" t="s">
        <v>2</v>
      </c>
      <c r="F381" s="187" t="s">
        <v>16</v>
      </c>
      <c r="G381" s="187"/>
      <c r="H381" s="188" t="s">
        <v>4</v>
      </c>
      <c r="I381" s="188"/>
      <c r="J381" s="189" t="s">
        <v>5</v>
      </c>
      <c r="K381" s="191" t="s">
        <v>123</v>
      </c>
      <c r="L381" s="191"/>
      <c r="M381" s="192" t="s">
        <v>14</v>
      </c>
      <c r="N381" s="135"/>
    </row>
    <row r="382" spans="2:14">
      <c r="B382" s="185"/>
      <c r="C382" s="186"/>
      <c r="D382" s="186"/>
      <c r="E382" s="187"/>
      <c r="F382" s="187"/>
      <c r="G382" s="187"/>
      <c r="H382" s="188"/>
      <c r="I382" s="188"/>
      <c r="J382" s="190"/>
      <c r="K382" s="21" t="s">
        <v>6</v>
      </c>
      <c r="L382" s="22" t="s">
        <v>7</v>
      </c>
      <c r="M382" s="192"/>
      <c r="N382" s="135"/>
    </row>
    <row r="383" spans="2:14">
      <c r="B383" s="31" t="s">
        <v>10</v>
      </c>
      <c r="C383" s="25" t="s">
        <v>13</v>
      </c>
      <c r="D383" s="12">
        <v>16</v>
      </c>
      <c r="E383" s="3">
        <f>VLOOKUP(D383,Dane!$A$1:$B$13,2)</f>
        <v>1.5780000000000001</v>
      </c>
      <c r="F383" s="158">
        <v>541</v>
      </c>
      <c r="G383" s="158"/>
      <c r="H383" s="173">
        <v>4</v>
      </c>
      <c r="I383" s="174"/>
      <c r="J383" s="29" t="s">
        <v>18</v>
      </c>
      <c r="K383" s="14">
        <f>IF(H383&lt;&gt;"",(E383*F383*0.01),"")</f>
        <v>8.5369800000000016</v>
      </c>
      <c r="L383" s="26">
        <f>IF(H383&lt;&gt;"",H383*K383,"")</f>
        <v>34.147920000000006</v>
      </c>
      <c r="M383" s="32" t="s">
        <v>141</v>
      </c>
      <c r="N383" s="135"/>
    </row>
    <row r="384" spans="2:14">
      <c r="B384" s="31" t="s">
        <v>11</v>
      </c>
      <c r="C384" s="25" t="s">
        <v>13</v>
      </c>
      <c r="D384" s="12">
        <v>6</v>
      </c>
      <c r="E384" s="3">
        <f>VLOOKUP(D384,Dane!$A$1:$B$13,2)</f>
        <v>0.222</v>
      </c>
      <c r="F384" s="158">
        <v>92</v>
      </c>
      <c r="G384" s="158"/>
      <c r="H384" s="159">
        <v>23</v>
      </c>
      <c r="I384" s="160"/>
      <c r="J384" s="29" t="s">
        <v>18</v>
      </c>
      <c r="K384" s="14">
        <f>IF(H384&lt;&gt;"",(E384*F384*0.01),"")</f>
        <v>0.20424</v>
      </c>
      <c r="L384" s="24">
        <f>IF(H384&lt;&gt;"",H384*K384,"")</f>
        <v>4.6975199999999999</v>
      </c>
      <c r="M384" s="237" t="s">
        <v>128</v>
      </c>
      <c r="N384" s="135"/>
    </row>
    <row r="385" spans="2:14">
      <c r="B385" s="34"/>
      <c r="C385" s="178" t="s">
        <v>1</v>
      </c>
      <c r="D385" s="178"/>
      <c r="E385" s="179" t="s">
        <v>8</v>
      </c>
      <c r="F385" s="179"/>
      <c r="G385" s="35" t="s">
        <v>15</v>
      </c>
      <c r="H385" s="36">
        <v>2</v>
      </c>
      <c r="I385" s="37"/>
      <c r="J385" s="38"/>
      <c r="K385" s="39"/>
      <c r="L385" s="39" t="str">
        <f>IF(SUM(L383:L384)=E388,"","BŁĄD")</f>
        <v/>
      </c>
      <c r="M385" s="38"/>
      <c r="N385" s="135"/>
    </row>
    <row r="386" spans="2:14">
      <c r="B386" s="6"/>
      <c r="C386" s="25" t="s">
        <v>13</v>
      </c>
      <c r="D386" s="12">
        <v>16</v>
      </c>
      <c r="E386" s="145">
        <f>IF(D386&lt;&gt;"",SUMIF(D383:D384,D386,L383:L384),"")</f>
        <v>34.147920000000006</v>
      </c>
      <c r="F386" s="7" t="str">
        <f>IF(E386&lt;&gt;"","kg","")</f>
        <v>kg</v>
      </c>
      <c r="G386" s="227">
        <f>E386*H385</f>
        <v>68.295840000000013</v>
      </c>
      <c r="H386" s="228"/>
      <c r="I386" s="16" t="s">
        <v>108</v>
      </c>
      <c r="N386" s="135"/>
    </row>
    <row r="387" spans="2:14">
      <c r="B387" s="6"/>
      <c r="C387" s="25" t="s">
        <v>13</v>
      </c>
      <c r="D387" s="12">
        <v>6</v>
      </c>
      <c r="E387" s="147">
        <f>IF(D387&lt;&gt;"",SUMIF(D383:D384,D387,L383:L384),"")</f>
        <v>4.6975199999999999</v>
      </c>
      <c r="F387" s="7" t="str">
        <f>IF(E387&lt;&gt;"","kg","")</f>
        <v>kg</v>
      </c>
      <c r="G387" s="229">
        <f>E387*H385</f>
        <v>9.3950399999999998</v>
      </c>
      <c r="H387" s="229"/>
      <c r="I387" s="16" t="s">
        <v>108</v>
      </c>
      <c r="N387" s="135"/>
    </row>
    <row r="388" spans="2:14">
      <c r="B388" s="6"/>
      <c r="C388" s="17"/>
      <c r="D388" s="18" t="s">
        <v>9</v>
      </c>
      <c r="E388" s="41">
        <f>SUM(E386:E387)</f>
        <v>38.845440000000004</v>
      </c>
      <c r="F388" s="19" t="s">
        <v>108</v>
      </c>
      <c r="G388" s="226">
        <f>SUM(G386:H387)</f>
        <v>77.690880000000007</v>
      </c>
      <c r="H388" s="226"/>
      <c r="I388" s="20" t="s">
        <v>108</v>
      </c>
      <c r="N388" s="135"/>
    </row>
    <row r="389" spans="2:14">
      <c r="D389" s="48"/>
      <c r="E389" s="146"/>
      <c r="F389" s="49"/>
      <c r="G389" s="50"/>
      <c r="H389" s="50"/>
      <c r="I389" s="40"/>
    </row>
    <row r="390" spans="2:14">
      <c r="B390" s="184" t="s">
        <v>160</v>
      </c>
      <c r="C390" s="184"/>
      <c r="D390" s="184"/>
      <c r="E390" s="184"/>
      <c r="F390" s="184"/>
      <c r="G390" s="184"/>
      <c r="H390" s="184"/>
      <c r="I390" s="184"/>
      <c r="J390" s="184"/>
      <c r="K390" s="184"/>
      <c r="L390" s="184"/>
      <c r="M390" s="184"/>
      <c r="N390" s="135"/>
    </row>
    <row r="391" spans="2:14">
      <c r="B391" s="185" t="s">
        <v>0</v>
      </c>
      <c r="C391" s="186" t="s">
        <v>1</v>
      </c>
      <c r="D391" s="186"/>
      <c r="E391" s="187" t="s">
        <v>2</v>
      </c>
      <c r="F391" s="187" t="s">
        <v>16</v>
      </c>
      <c r="G391" s="187"/>
      <c r="H391" s="188" t="s">
        <v>4</v>
      </c>
      <c r="I391" s="188"/>
      <c r="J391" s="189" t="s">
        <v>5</v>
      </c>
      <c r="K391" s="191" t="s">
        <v>123</v>
      </c>
      <c r="L391" s="191"/>
      <c r="M391" s="192" t="s">
        <v>14</v>
      </c>
      <c r="N391" s="135"/>
    </row>
    <row r="392" spans="2:14">
      <c r="B392" s="185"/>
      <c r="C392" s="186"/>
      <c r="D392" s="186"/>
      <c r="E392" s="187"/>
      <c r="F392" s="187"/>
      <c r="G392" s="187"/>
      <c r="H392" s="188"/>
      <c r="I392" s="188"/>
      <c r="J392" s="190"/>
      <c r="K392" s="21" t="s">
        <v>6</v>
      </c>
      <c r="L392" s="22" t="s">
        <v>7</v>
      </c>
      <c r="M392" s="192"/>
      <c r="N392" s="135"/>
    </row>
    <row r="393" spans="2:14">
      <c r="B393" s="31" t="s">
        <v>10</v>
      </c>
      <c r="C393" s="25" t="s">
        <v>13</v>
      </c>
      <c r="D393" s="12">
        <v>16</v>
      </c>
      <c r="E393" s="3">
        <f>VLOOKUP(D393,Dane!$A$1:$B$13,2)</f>
        <v>1.5780000000000001</v>
      </c>
      <c r="F393" s="158">
        <v>472</v>
      </c>
      <c r="G393" s="158"/>
      <c r="H393" s="173">
        <v>4</v>
      </c>
      <c r="I393" s="174"/>
      <c r="J393" s="29" t="s">
        <v>18</v>
      </c>
      <c r="K393" s="14">
        <f>IF(H393&lt;&gt;"",(E393*F393*0.01),"")</f>
        <v>7.4481600000000006</v>
      </c>
      <c r="L393" s="26">
        <f>IF(H393&lt;&gt;"",H393*K393,"")</f>
        <v>29.792640000000002</v>
      </c>
      <c r="M393" s="32" t="s">
        <v>138</v>
      </c>
      <c r="N393" s="135"/>
    </row>
    <row r="394" spans="2:14">
      <c r="B394" s="31" t="s">
        <v>11</v>
      </c>
      <c r="C394" s="25" t="s">
        <v>13</v>
      </c>
      <c r="D394" s="12">
        <v>6</v>
      </c>
      <c r="E394" s="3">
        <f>VLOOKUP(D394,Dane!$A$1:$B$13,2)</f>
        <v>0.222</v>
      </c>
      <c r="F394" s="158">
        <v>92</v>
      </c>
      <c r="G394" s="158"/>
      <c r="H394" s="159">
        <v>33</v>
      </c>
      <c r="I394" s="160"/>
      <c r="J394" s="29" t="s">
        <v>18</v>
      </c>
      <c r="K394" s="14">
        <f>IF(H394&lt;&gt;"",(E394*F394*0.01),"")</f>
        <v>0.20424</v>
      </c>
      <c r="L394" s="24">
        <f>IF(H394&lt;&gt;"",H394*K394,"")</f>
        <v>6.7399200000000006</v>
      </c>
      <c r="M394" s="33" t="s">
        <v>128</v>
      </c>
      <c r="N394" s="135"/>
    </row>
    <row r="395" spans="2:14">
      <c r="B395" s="31" t="s">
        <v>12</v>
      </c>
      <c r="C395" s="25" t="s">
        <v>13</v>
      </c>
      <c r="D395" s="12">
        <v>16</v>
      </c>
      <c r="E395" s="3">
        <f>VLOOKUP(D395,Dane!$A$1:$B$13,2)</f>
        <v>1.5780000000000001</v>
      </c>
      <c r="F395" s="158">
        <v>362</v>
      </c>
      <c r="G395" s="158"/>
      <c r="H395" s="159">
        <v>4</v>
      </c>
      <c r="I395" s="160"/>
      <c r="J395" s="29" t="s">
        <v>18</v>
      </c>
      <c r="K395" s="14">
        <f>IF(H395&lt;&gt;"",(E395*F395*0.01),"")</f>
        <v>5.7123600000000003</v>
      </c>
      <c r="L395" s="24">
        <f>IF(H395&lt;&gt;"",H395*K395,"")</f>
        <v>22.849440000000001</v>
      </c>
      <c r="M395" s="237" t="s">
        <v>141</v>
      </c>
      <c r="N395" s="135"/>
    </row>
    <row r="396" spans="2:14">
      <c r="B396" s="34"/>
      <c r="C396" s="178" t="s">
        <v>1</v>
      </c>
      <c r="D396" s="178"/>
      <c r="E396" s="179" t="s">
        <v>8</v>
      </c>
      <c r="F396" s="179"/>
      <c r="G396" s="35" t="s">
        <v>15</v>
      </c>
      <c r="H396" s="36">
        <v>2</v>
      </c>
      <c r="I396" s="37"/>
      <c r="J396" s="38"/>
      <c r="K396" s="39"/>
      <c r="L396" s="39" t="str">
        <f>IF(SUM(L393:L395)=E399,"","BŁĄD")</f>
        <v/>
      </c>
      <c r="M396" s="38"/>
      <c r="N396" s="135"/>
    </row>
    <row r="397" spans="2:14">
      <c r="B397" s="6"/>
      <c r="C397" s="25" t="s">
        <v>13</v>
      </c>
      <c r="D397" s="12">
        <v>16</v>
      </c>
      <c r="E397" s="145">
        <f>IF(D397&lt;&gt;"",SUMIF(D393:D395,D397,L393:L395),"")</f>
        <v>52.642080000000007</v>
      </c>
      <c r="F397" s="7" t="str">
        <f>IF(E397&lt;&gt;"","kg","")</f>
        <v>kg</v>
      </c>
      <c r="G397" s="227">
        <f>E397*H396</f>
        <v>105.28416000000001</v>
      </c>
      <c r="H397" s="228"/>
      <c r="I397" s="16" t="s">
        <v>108</v>
      </c>
      <c r="N397" s="135"/>
    </row>
    <row r="398" spans="2:14">
      <c r="B398" s="6"/>
      <c r="C398" s="25" t="s">
        <v>13</v>
      </c>
      <c r="D398" s="12">
        <v>6</v>
      </c>
      <c r="E398" s="147">
        <f>IF(D398&lt;&gt;"",SUMIF(D393:D395,D398,L393:L395),"")</f>
        <v>6.7399200000000006</v>
      </c>
      <c r="F398" s="7" t="str">
        <f>IF(E398&lt;&gt;"","kg","")</f>
        <v>kg</v>
      </c>
      <c r="G398" s="229">
        <f>E398*H396</f>
        <v>13.479840000000001</v>
      </c>
      <c r="H398" s="229"/>
      <c r="I398" s="16" t="s">
        <v>108</v>
      </c>
      <c r="N398" s="135"/>
    </row>
    <row r="399" spans="2:14">
      <c r="B399" s="6"/>
      <c r="C399" s="17"/>
      <c r="D399" s="18" t="s">
        <v>9</v>
      </c>
      <c r="E399" s="41">
        <f>SUM(E397:E398)</f>
        <v>59.382000000000005</v>
      </c>
      <c r="F399" s="19" t="s">
        <v>108</v>
      </c>
      <c r="G399" s="226">
        <f>SUM(G397:H398)</f>
        <v>118.76400000000001</v>
      </c>
      <c r="H399" s="226"/>
      <c r="I399" s="20" t="s">
        <v>108</v>
      </c>
      <c r="N399" s="135"/>
    </row>
    <row r="400" spans="2:14">
      <c r="D400" s="48"/>
      <c r="E400" s="146"/>
      <c r="F400" s="49"/>
      <c r="G400" s="50"/>
      <c r="H400" s="50"/>
      <c r="I400" s="40"/>
    </row>
    <row r="401" spans="2:14">
      <c r="B401" s="184" t="s">
        <v>161</v>
      </c>
      <c r="C401" s="184"/>
      <c r="D401" s="184"/>
      <c r="E401" s="184"/>
      <c r="F401" s="184"/>
      <c r="G401" s="184"/>
      <c r="H401" s="184"/>
      <c r="I401" s="184"/>
      <c r="J401" s="184"/>
      <c r="K401" s="184"/>
      <c r="L401" s="184"/>
      <c r="M401" s="184"/>
      <c r="N401" s="135"/>
    </row>
    <row r="402" spans="2:14">
      <c r="B402" s="185" t="s">
        <v>0</v>
      </c>
      <c r="C402" s="186" t="s">
        <v>1</v>
      </c>
      <c r="D402" s="186"/>
      <c r="E402" s="187" t="s">
        <v>2</v>
      </c>
      <c r="F402" s="187" t="s">
        <v>16</v>
      </c>
      <c r="G402" s="187"/>
      <c r="H402" s="188" t="s">
        <v>4</v>
      </c>
      <c r="I402" s="188"/>
      <c r="J402" s="189" t="s">
        <v>5</v>
      </c>
      <c r="K402" s="191" t="s">
        <v>123</v>
      </c>
      <c r="L402" s="191"/>
      <c r="M402" s="192" t="s">
        <v>14</v>
      </c>
      <c r="N402" s="135"/>
    </row>
    <row r="403" spans="2:14">
      <c r="B403" s="185"/>
      <c r="C403" s="186"/>
      <c r="D403" s="186"/>
      <c r="E403" s="187"/>
      <c r="F403" s="187"/>
      <c r="G403" s="187"/>
      <c r="H403" s="188"/>
      <c r="I403" s="188"/>
      <c r="J403" s="190"/>
      <c r="K403" s="21" t="s">
        <v>6</v>
      </c>
      <c r="L403" s="22" t="s">
        <v>7</v>
      </c>
      <c r="M403" s="192"/>
      <c r="N403" s="135"/>
    </row>
    <row r="404" spans="2:14">
      <c r="B404" s="31" t="s">
        <v>10</v>
      </c>
      <c r="C404" s="25" t="s">
        <v>13</v>
      </c>
      <c r="D404" s="12">
        <v>16</v>
      </c>
      <c r="E404" s="3">
        <f>VLOOKUP(D404,Dane!$A$1:$B$13,2)</f>
        <v>1.5780000000000001</v>
      </c>
      <c r="F404" s="158">
        <v>472</v>
      </c>
      <c r="G404" s="158"/>
      <c r="H404" s="173">
        <v>4</v>
      </c>
      <c r="I404" s="174"/>
      <c r="J404" s="29" t="s">
        <v>18</v>
      </c>
      <c r="K404" s="14">
        <f>IF(H404&lt;&gt;"",(E404*F404*0.01),"")</f>
        <v>7.4481600000000006</v>
      </c>
      <c r="L404" s="26">
        <f>IF(H404&lt;&gt;"",H404*K404,"")</f>
        <v>29.792640000000002</v>
      </c>
      <c r="M404" s="32" t="s">
        <v>138</v>
      </c>
      <c r="N404" s="135"/>
    </row>
    <row r="405" spans="2:14">
      <c r="B405" s="31" t="s">
        <v>11</v>
      </c>
      <c r="C405" s="25" t="s">
        <v>13</v>
      </c>
      <c r="D405" s="12">
        <v>6</v>
      </c>
      <c r="E405" s="3">
        <f>VLOOKUP(D405,Dane!$A$1:$B$13,2)</f>
        <v>0.222</v>
      </c>
      <c r="F405" s="158">
        <v>92</v>
      </c>
      <c r="G405" s="158"/>
      <c r="H405" s="159">
        <v>30</v>
      </c>
      <c r="I405" s="160"/>
      <c r="J405" s="29" t="s">
        <v>18</v>
      </c>
      <c r="K405" s="14">
        <f>IF(H405&lt;&gt;"",(E405*F405*0.01),"")</f>
        <v>0.20424</v>
      </c>
      <c r="L405" s="24">
        <f>IF(H405&lt;&gt;"",H405*K405,"")</f>
        <v>6.1272000000000002</v>
      </c>
      <c r="M405" s="33" t="s">
        <v>128</v>
      </c>
      <c r="N405" s="135"/>
    </row>
    <row r="406" spans="2:14">
      <c r="B406" s="31" t="s">
        <v>12</v>
      </c>
      <c r="C406" s="25" t="s">
        <v>13</v>
      </c>
      <c r="D406" s="12">
        <v>16</v>
      </c>
      <c r="E406" s="3">
        <f>VLOOKUP(D406,Dane!$A$1:$B$13,2)</f>
        <v>1.5780000000000001</v>
      </c>
      <c r="F406" s="158">
        <v>264</v>
      </c>
      <c r="G406" s="158"/>
      <c r="H406" s="159">
        <v>4</v>
      </c>
      <c r="I406" s="160"/>
      <c r="J406" s="29" t="s">
        <v>18</v>
      </c>
      <c r="K406" s="14">
        <f>IF(H406&lt;&gt;"",(E406*F406*0.01),"")</f>
        <v>4.1659200000000007</v>
      </c>
      <c r="L406" s="24">
        <f>IF(H406&lt;&gt;"",H406*K406,"")</f>
        <v>16.663680000000003</v>
      </c>
      <c r="M406" s="237" t="s">
        <v>141</v>
      </c>
      <c r="N406" s="135"/>
    </row>
    <row r="407" spans="2:14">
      <c r="B407" s="34"/>
      <c r="C407" s="178" t="s">
        <v>1</v>
      </c>
      <c r="D407" s="178"/>
      <c r="E407" s="179" t="s">
        <v>8</v>
      </c>
      <c r="F407" s="179"/>
      <c r="G407" s="35" t="s">
        <v>15</v>
      </c>
      <c r="H407" s="36">
        <v>2</v>
      </c>
      <c r="I407" s="37"/>
      <c r="J407" s="38"/>
      <c r="K407" s="39"/>
      <c r="L407" s="39" t="str">
        <f>IF(SUM(L404:L406)=E410,"","BŁĄD")</f>
        <v/>
      </c>
      <c r="M407" s="38"/>
      <c r="N407" s="135"/>
    </row>
    <row r="408" spans="2:14">
      <c r="B408" s="6"/>
      <c r="C408" s="25" t="s">
        <v>13</v>
      </c>
      <c r="D408" s="12">
        <v>16</v>
      </c>
      <c r="E408" s="145">
        <f>IF(D408&lt;&gt;"",SUMIF(D404:D406,D408,L404:L406),"")</f>
        <v>46.456320000000005</v>
      </c>
      <c r="F408" s="7" t="str">
        <f>IF(E408&lt;&gt;"","kg","")</f>
        <v>kg</v>
      </c>
      <c r="G408" s="227">
        <f>E408*H407</f>
        <v>92.91264000000001</v>
      </c>
      <c r="H408" s="228"/>
      <c r="I408" s="16" t="s">
        <v>108</v>
      </c>
      <c r="N408" s="135"/>
    </row>
    <row r="409" spans="2:14">
      <c r="B409" s="6"/>
      <c r="C409" s="25" t="s">
        <v>13</v>
      </c>
      <c r="D409" s="12">
        <v>6</v>
      </c>
      <c r="E409" s="147">
        <f>IF(D409&lt;&gt;"",SUMIF(D404:D406,D409,L404:L406),"")</f>
        <v>6.1272000000000002</v>
      </c>
      <c r="F409" s="7" t="str">
        <f>IF(E409&lt;&gt;"","kg","")</f>
        <v>kg</v>
      </c>
      <c r="G409" s="229">
        <f>E409*H407</f>
        <v>12.2544</v>
      </c>
      <c r="H409" s="229"/>
      <c r="I409" s="16" t="s">
        <v>108</v>
      </c>
      <c r="N409" s="135"/>
    </row>
    <row r="410" spans="2:14">
      <c r="B410" s="6"/>
      <c r="C410" s="17"/>
      <c r="D410" s="18" t="s">
        <v>9</v>
      </c>
      <c r="E410" s="41">
        <f>SUM(E408:E409)</f>
        <v>52.583520000000007</v>
      </c>
      <c r="F410" s="19" t="s">
        <v>108</v>
      </c>
      <c r="G410" s="226">
        <f>SUM(G408:H409)</f>
        <v>105.16704000000001</v>
      </c>
      <c r="H410" s="226"/>
      <c r="I410" s="20" t="s">
        <v>108</v>
      </c>
      <c r="N410" s="135"/>
    </row>
    <row r="411" spans="2:14">
      <c r="D411" s="48"/>
      <c r="E411" s="146"/>
      <c r="F411" s="49"/>
      <c r="G411" s="50"/>
      <c r="H411" s="50"/>
      <c r="I411" s="40"/>
    </row>
    <row r="412" spans="2:14">
      <c r="B412" s="184" t="s">
        <v>159</v>
      </c>
      <c r="C412" s="184"/>
      <c r="D412" s="184"/>
      <c r="E412" s="184"/>
      <c r="F412" s="184"/>
      <c r="G412" s="184"/>
      <c r="H412" s="184"/>
      <c r="I412" s="184"/>
      <c r="J412" s="184"/>
      <c r="K412" s="184"/>
      <c r="L412" s="184"/>
      <c r="M412" s="184"/>
      <c r="N412" s="135"/>
    </row>
    <row r="413" spans="2:14">
      <c r="B413" s="185" t="s">
        <v>0</v>
      </c>
      <c r="C413" s="186" t="s">
        <v>1</v>
      </c>
      <c r="D413" s="186"/>
      <c r="E413" s="187" t="s">
        <v>2</v>
      </c>
      <c r="F413" s="187" t="s">
        <v>16</v>
      </c>
      <c r="G413" s="187"/>
      <c r="H413" s="188" t="s">
        <v>4</v>
      </c>
      <c r="I413" s="188"/>
      <c r="J413" s="189" t="s">
        <v>5</v>
      </c>
      <c r="K413" s="191" t="s">
        <v>123</v>
      </c>
      <c r="L413" s="191"/>
      <c r="M413" s="192" t="s">
        <v>14</v>
      </c>
      <c r="N413" s="135"/>
    </row>
    <row r="414" spans="2:14">
      <c r="B414" s="185"/>
      <c r="C414" s="186"/>
      <c r="D414" s="186"/>
      <c r="E414" s="187"/>
      <c r="F414" s="187"/>
      <c r="G414" s="187"/>
      <c r="H414" s="188"/>
      <c r="I414" s="188"/>
      <c r="J414" s="190"/>
      <c r="K414" s="21" t="s">
        <v>6</v>
      </c>
      <c r="L414" s="22" t="s">
        <v>7</v>
      </c>
      <c r="M414" s="192"/>
      <c r="N414" s="135"/>
    </row>
    <row r="415" spans="2:14">
      <c r="B415" s="31" t="s">
        <v>10</v>
      </c>
      <c r="C415" s="25" t="s">
        <v>13</v>
      </c>
      <c r="D415" s="12">
        <v>16</v>
      </c>
      <c r="E415" s="3">
        <f>VLOOKUP(D415,Dane!$A$1:$B$13,2)</f>
        <v>1.5780000000000001</v>
      </c>
      <c r="F415" s="158">
        <v>557</v>
      </c>
      <c r="G415" s="158"/>
      <c r="H415" s="173">
        <v>4</v>
      </c>
      <c r="I415" s="174"/>
      <c r="J415" s="29" t="s">
        <v>18</v>
      </c>
      <c r="K415" s="14">
        <f>IF(H415&lt;&gt;"",(E415*F415*0.01),"")</f>
        <v>8.7894600000000001</v>
      </c>
      <c r="L415" s="26">
        <f>IF(H415&lt;&gt;"",H415*K415,"")</f>
        <v>35.15784</v>
      </c>
      <c r="M415" s="32" t="s">
        <v>141</v>
      </c>
      <c r="N415" s="135"/>
    </row>
    <row r="416" spans="2:14">
      <c r="B416" s="31" t="s">
        <v>11</v>
      </c>
      <c r="C416" s="25" t="s">
        <v>13</v>
      </c>
      <c r="D416" s="12">
        <v>6</v>
      </c>
      <c r="E416" s="3">
        <f>VLOOKUP(D416,Dane!$A$1:$B$13,2)</f>
        <v>0.222</v>
      </c>
      <c r="F416" s="158">
        <v>92</v>
      </c>
      <c r="G416" s="158"/>
      <c r="H416" s="159">
        <v>23</v>
      </c>
      <c r="I416" s="160"/>
      <c r="J416" s="29" t="s">
        <v>18</v>
      </c>
      <c r="K416" s="14">
        <f>IF(H416&lt;&gt;"",(E416*F416*0.01),"")</f>
        <v>0.20424</v>
      </c>
      <c r="L416" s="24">
        <f>IF(H416&lt;&gt;"",H416*K416,"")</f>
        <v>4.6975199999999999</v>
      </c>
      <c r="M416" s="237" t="s">
        <v>128</v>
      </c>
      <c r="N416" s="135"/>
    </row>
    <row r="417" spans="2:14">
      <c r="B417" s="34"/>
      <c r="C417" s="178" t="s">
        <v>1</v>
      </c>
      <c r="D417" s="178"/>
      <c r="E417" s="179" t="s">
        <v>8</v>
      </c>
      <c r="F417" s="179"/>
      <c r="G417" s="35" t="s">
        <v>15</v>
      </c>
      <c r="H417" s="36">
        <v>2</v>
      </c>
      <c r="I417" s="37"/>
      <c r="J417" s="38"/>
      <c r="K417" s="39"/>
      <c r="L417" s="39" t="str">
        <f>IF(SUM(L415:L416)=E420,"","BŁĄD")</f>
        <v/>
      </c>
      <c r="M417" s="38"/>
      <c r="N417" s="135"/>
    </row>
    <row r="418" spans="2:14">
      <c r="B418" s="6"/>
      <c r="C418" s="25" t="s">
        <v>13</v>
      </c>
      <c r="D418" s="12">
        <v>16</v>
      </c>
      <c r="E418" s="145">
        <f>IF(D418&lt;&gt;"",SUMIF(D415:D416,D418,L415:L416),"")</f>
        <v>35.15784</v>
      </c>
      <c r="F418" s="7" t="str">
        <f>IF(E418&lt;&gt;"","kg","")</f>
        <v>kg</v>
      </c>
      <c r="G418" s="227">
        <f>E418*H417</f>
        <v>70.31568</v>
      </c>
      <c r="H418" s="228"/>
      <c r="I418" s="16" t="s">
        <v>108</v>
      </c>
      <c r="N418" s="135"/>
    </row>
    <row r="419" spans="2:14">
      <c r="B419" s="6"/>
      <c r="C419" s="25" t="s">
        <v>13</v>
      </c>
      <c r="D419" s="12">
        <v>6</v>
      </c>
      <c r="E419" s="147">
        <f>IF(D419&lt;&gt;"",SUMIF(D415:D416,D419,L415:L416),"")</f>
        <v>4.6975199999999999</v>
      </c>
      <c r="F419" s="7" t="str">
        <f>IF(E419&lt;&gt;"","kg","")</f>
        <v>kg</v>
      </c>
      <c r="G419" s="229">
        <f>E419*H417</f>
        <v>9.3950399999999998</v>
      </c>
      <c r="H419" s="229"/>
      <c r="I419" s="16" t="s">
        <v>108</v>
      </c>
      <c r="N419" s="135"/>
    </row>
    <row r="420" spans="2:14">
      <c r="B420" s="6"/>
      <c r="C420" s="17"/>
      <c r="D420" s="18" t="s">
        <v>9</v>
      </c>
      <c r="E420" s="41">
        <f>SUM(E418:E419)</f>
        <v>39.855359999999997</v>
      </c>
      <c r="F420" s="19" t="s">
        <v>108</v>
      </c>
      <c r="G420" s="226">
        <f>SUM(G418:H419)</f>
        <v>79.710719999999995</v>
      </c>
      <c r="H420" s="226"/>
      <c r="I420" s="20" t="s">
        <v>108</v>
      </c>
      <c r="N420" s="135"/>
    </row>
    <row r="421" spans="2:14">
      <c r="D421" s="48"/>
      <c r="E421" s="146"/>
      <c r="F421" s="49"/>
      <c r="G421" s="50"/>
      <c r="H421" s="50"/>
      <c r="I421" s="40"/>
    </row>
    <row r="422" spans="2:14">
      <c r="B422" s="184" t="s">
        <v>158</v>
      </c>
      <c r="C422" s="184"/>
      <c r="D422" s="184"/>
      <c r="E422" s="184"/>
      <c r="F422" s="184"/>
      <c r="G422" s="184"/>
      <c r="H422" s="184"/>
      <c r="I422" s="184"/>
      <c r="J422" s="184"/>
      <c r="K422" s="184"/>
      <c r="L422" s="184"/>
      <c r="M422" s="184"/>
      <c r="N422" s="135"/>
    </row>
    <row r="423" spans="2:14">
      <c r="B423" s="185" t="s">
        <v>0</v>
      </c>
      <c r="C423" s="186" t="s">
        <v>1</v>
      </c>
      <c r="D423" s="186"/>
      <c r="E423" s="187" t="s">
        <v>2</v>
      </c>
      <c r="F423" s="187" t="s">
        <v>16</v>
      </c>
      <c r="G423" s="187"/>
      <c r="H423" s="188" t="s">
        <v>4</v>
      </c>
      <c r="I423" s="188"/>
      <c r="J423" s="189" t="s">
        <v>5</v>
      </c>
      <c r="K423" s="191" t="s">
        <v>123</v>
      </c>
      <c r="L423" s="191"/>
      <c r="M423" s="192" t="s">
        <v>14</v>
      </c>
      <c r="N423" s="135"/>
    </row>
    <row r="424" spans="2:14">
      <c r="B424" s="185"/>
      <c r="C424" s="186"/>
      <c r="D424" s="186"/>
      <c r="E424" s="187"/>
      <c r="F424" s="187"/>
      <c r="G424" s="187"/>
      <c r="H424" s="188"/>
      <c r="I424" s="188"/>
      <c r="J424" s="190"/>
      <c r="K424" s="21" t="s">
        <v>6</v>
      </c>
      <c r="L424" s="22" t="s">
        <v>7</v>
      </c>
      <c r="M424" s="192"/>
      <c r="N424" s="135"/>
    </row>
    <row r="425" spans="2:14">
      <c r="B425" s="31" t="s">
        <v>10</v>
      </c>
      <c r="C425" s="25" t="s">
        <v>13</v>
      </c>
      <c r="D425" s="12">
        <v>16</v>
      </c>
      <c r="E425" s="3">
        <f>VLOOKUP(D425,Dane!$A$1:$B$13,2)</f>
        <v>1.5780000000000001</v>
      </c>
      <c r="F425" s="158">
        <v>562</v>
      </c>
      <c r="G425" s="158"/>
      <c r="H425" s="173">
        <v>4</v>
      </c>
      <c r="I425" s="174"/>
      <c r="J425" s="29" t="s">
        <v>18</v>
      </c>
      <c r="K425" s="14">
        <f>IF(H425&lt;&gt;"",(E425*F425*0.01),"")</f>
        <v>8.8683600000000009</v>
      </c>
      <c r="L425" s="26">
        <f>IF(H425&lt;&gt;"",H425*K425,"")</f>
        <v>35.473440000000004</v>
      </c>
      <c r="M425" s="32" t="s">
        <v>141</v>
      </c>
      <c r="N425" s="135"/>
    </row>
    <row r="426" spans="2:14">
      <c r="B426" s="31" t="s">
        <v>11</v>
      </c>
      <c r="C426" s="25" t="s">
        <v>13</v>
      </c>
      <c r="D426" s="12">
        <v>6</v>
      </c>
      <c r="E426" s="3">
        <f>VLOOKUP(D426,Dane!$A$1:$B$13,2)</f>
        <v>0.222</v>
      </c>
      <c r="F426" s="158">
        <v>92</v>
      </c>
      <c r="G426" s="158"/>
      <c r="H426" s="159">
        <v>23</v>
      </c>
      <c r="I426" s="160"/>
      <c r="J426" s="29" t="s">
        <v>18</v>
      </c>
      <c r="K426" s="14">
        <f>IF(H426&lt;&gt;"",(E426*F426*0.01),"")</f>
        <v>0.20424</v>
      </c>
      <c r="L426" s="24">
        <f>IF(H426&lt;&gt;"",H426*K426,"")</f>
        <v>4.6975199999999999</v>
      </c>
      <c r="M426" s="237" t="s">
        <v>128</v>
      </c>
      <c r="N426" s="135"/>
    </row>
    <row r="427" spans="2:14">
      <c r="B427" s="34"/>
      <c r="C427" s="178" t="s">
        <v>1</v>
      </c>
      <c r="D427" s="178"/>
      <c r="E427" s="179" t="s">
        <v>8</v>
      </c>
      <c r="F427" s="179"/>
      <c r="G427" s="35" t="s">
        <v>15</v>
      </c>
      <c r="H427" s="36">
        <v>1</v>
      </c>
      <c r="I427" s="37"/>
      <c r="J427" s="38"/>
      <c r="K427" s="39"/>
      <c r="L427" s="39" t="str">
        <f>IF(SUM(L425:L426)=E430,"","BŁĄD")</f>
        <v/>
      </c>
      <c r="M427" s="38"/>
      <c r="N427" s="135"/>
    </row>
    <row r="428" spans="2:14">
      <c r="B428" s="6"/>
      <c r="C428" s="25" t="s">
        <v>13</v>
      </c>
      <c r="D428" s="12">
        <v>16</v>
      </c>
      <c r="E428" s="145">
        <f>IF(D428&lt;&gt;"",SUMIF(D425:D426,D428,L425:L426),"")</f>
        <v>35.473440000000004</v>
      </c>
      <c r="F428" s="7" t="str">
        <f>IF(E428&lt;&gt;"","kg","")</f>
        <v>kg</v>
      </c>
      <c r="G428" s="227">
        <f>E428*H427</f>
        <v>35.473440000000004</v>
      </c>
      <c r="H428" s="228"/>
      <c r="I428" s="16" t="s">
        <v>108</v>
      </c>
      <c r="N428" s="135"/>
    </row>
    <row r="429" spans="2:14">
      <c r="B429" s="6"/>
      <c r="C429" s="25" t="s">
        <v>13</v>
      </c>
      <c r="D429" s="12">
        <v>6</v>
      </c>
      <c r="E429" s="147">
        <f>IF(D429&lt;&gt;"",SUMIF(D425:D426,D429,L425:L426),"")</f>
        <v>4.6975199999999999</v>
      </c>
      <c r="F429" s="7" t="str">
        <f>IF(E429&lt;&gt;"","kg","")</f>
        <v>kg</v>
      </c>
      <c r="G429" s="229">
        <f>E429*H427</f>
        <v>4.6975199999999999</v>
      </c>
      <c r="H429" s="229"/>
      <c r="I429" s="16" t="s">
        <v>108</v>
      </c>
      <c r="N429" s="135"/>
    </row>
    <row r="430" spans="2:14">
      <c r="B430" s="6"/>
      <c r="C430" s="17"/>
      <c r="D430" s="18" t="s">
        <v>9</v>
      </c>
      <c r="E430" s="41">
        <f>SUM(E428:E429)</f>
        <v>40.170960000000001</v>
      </c>
      <c r="F430" s="19" t="s">
        <v>108</v>
      </c>
      <c r="G430" s="226">
        <f>SUM(G428:H429)</f>
        <v>40.170960000000001</v>
      </c>
      <c r="H430" s="226"/>
      <c r="I430" s="20" t="s">
        <v>108</v>
      </c>
      <c r="N430" s="135"/>
    </row>
    <row r="431" spans="2:14">
      <c r="D431" s="48"/>
      <c r="E431" s="146"/>
      <c r="F431" s="49"/>
      <c r="G431" s="50"/>
      <c r="H431" s="50"/>
      <c r="I431" s="40"/>
    </row>
    <row r="432" spans="2:14">
      <c r="B432" s="184" t="s">
        <v>157</v>
      </c>
      <c r="C432" s="184"/>
      <c r="D432" s="184"/>
      <c r="E432" s="184"/>
      <c r="F432" s="184"/>
      <c r="G432" s="184"/>
      <c r="H432" s="184"/>
      <c r="I432" s="184"/>
      <c r="J432" s="184"/>
      <c r="K432" s="184"/>
      <c r="L432" s="184"/>
      <c r="M432" s="184"/>
      <c r="N432" s="135"/>
    </row>
    <row r="433" spans="1:14">
      <c r="B433" s="185" t="s">
        <v>0</v>
      </c>
      <c r="C433" s="186" t="s">
        <v>1</v>
      </c>
      <c r="D433" s="186"/>
      <c r="E433" s="187" t="s">
        <v>2</v>
      </c>
      <c r="F433" s="187" t="s">
        <v>16</v>
      </c>
      <c r="G433" s="187"/>
      <c r="H433" s="188" t="s">
        <v>4</v>
      </c>
      <c r="I433" s="188"/>
      <c r="J433" s="189" t="s">
        <v>5</v>
      </c>
      <c r="K433" s="191" t="s">
        <v>123</v>
      </c>
      <c r="L433" s="191"/>
      <c r="M433" s="192" t="s">
        <v>14</v>
      </c>
      <c r="N433" s="135"/>
    </row>
    <row r="434" spans="1:14">
      <c r="B434" s="185"/>
      <c r="C434" s="186"/>
      <c r="D434" s="186"/>
      <c r="E434" s="187"/>
      <c r="F434" s="187"/>
      <c r="G434" s="187"/>
      <c r="H434" s="188"/>
      <c r="I434" s="188"/>
      <c r="J434" s="190"/>
      <c r="K434" s="21" t="s">
        <v>6</v>
      </c>
      <c r="L434" s="22" t="s">
        <v>7</v>
      </c>
      <c r="M434" s="192"/>
      <c r="N434" s="135"/>
    </row>
    <row r="435" spans="1:14">
      <c r="B435" s="31" t="s">
        <v>10</v>
      </c>
      <c r="C435" s="25" t="s">
        <v>13</v>
      </c>
      <c r="D435" s="12">
        <v>16</v>
      </c>
      <c r="E435" s="3">
        <f>VLOOKUP(D435,Dane!$A$1:$B$13,2)</f>
        <v>1.5780000000000001</v>
      </c>
      <c r="F435" s="158">
        <v>421</v>
      </c>
      <c r="G435" s="158"/>
      <c r="H435" s="173">
        <v>4</v>
      </c>
      <c r="I435" s="174"/>
      <c r="J435" s="29" t="s">
        <v>18</v>
      </c>
      <c r="K435" s="14">
        <f>IF(H435&lt;&gt;"",(E435*F435*0.01),"")</f>
        <v>6.6433800000000005</v>
      </c>
      <c r="L435" s="26">
        <f>IF(H435&lt;&gt;"",H435*K435,"")</f>
        <v>26.573520000000002</v>
      </c>
      <c r="M435" s="32" t="s">
        <v>141</v>
      </c>
      <c r="N435" s="135"/>
    </row>
    <row r="436" spans="1:14">
      <c r="B436" s="31" t="s">
        <v>11</v>
      </c>
      <c r="C436" s="25" t="s">
        <v>13</v>
      </c>
      <c r="D436" s="12">
        <v>6</v>
      </c>
      <c r="E436" s="3">
        <f>VLOOKUP(D436,Dane!$A$1:$B$13,2)</f>
        <v>0.222</v>
      </c>
      <c r="F436" s="158">
        <v>92</v>
      </c>
      <c r="G436" s="158"/>
      <c r="H436" s="159">
        <v>18</v>
      </c>
      <c r="I436" s="160"/>
      <c r="J436" s="29" t="s">
        <v>18</v>
      </c>
      <c r="K436" s="14">
        <f>IF(H436&lt;&gt;"",(E436*F436*0.01),"")</f>
        <v>0.20424</v>
      </c>
      <c r="L436" s="24">
        <f>IF(H436&lt;&gt;"",H436*K436,"")</f>
        <v>3.67632</v>
      </c>
      <c r="M436" s="237" t="s">
        <v>128</v>
      </c>
      <c r="N436" s="135"/>
    </row>
    <row r="437" spans="1:14">
      <c r="B437" s="34"/>
      <c r="C437" s="178" t="s">
        <v>1</v>
      </c>
      <c r="D437" s="178"/>
      <c r="E437" s="179" t="s">
        <v>8</v>
      </c>
      <c r="F437" s="179"/>
      <c r="G437" s="35" t="s">
        <v>15</v>
      </c>
      <c r="H437" s="36">
        <v>1</v>
      </c>
      <c r="I437" s="37"/>
      <c r="J437" s="38"/>
      <c r="K437" s="39"/>
      <c r="L437" s="39" t="str">
        <f>IF(SUM(L435:L436)=E440,"","BŁĄD")</f>
        <v/>
      </c>
      <c r="M437" s="38"/>
      <c r="N437" s="135"/>
    </row>
    <row r="438" spans="1:14">
      <c r="B438" s="6"/>
      <c r="C438" s="25" t="s">
        <v>13</v>
      </c>
      <c r="D438" s="12">
        <v>16</v>
      </c>
      <c r="E438" s="145">
        <f>IF(D438&lt;&gt;"",SUMIF(D435:D436,D438,L435:L436),"")</f>
        <v>26.573520000000002</v>
      </c>
      <c r="F438" s="7" t="str">
        <f>IF(E438&lt;&gt;"","kg","")</f>
        <v>kg</v>
      </c>
      <c r="G438" s="227">
        <f>E438*H437</f>
        <v>26.573520000000002</v>
      </c>
      <c r="H438" s="228"/>
      <c r="I438" s="16" t="s">
        <v>108</v>
      </c>
      <c r="N438" s="135"/>
    </row>
    <row r="439" spans="1:14">
      <c r="B439" s="6"/>
      <c r="C439" s="25" t="s">
        <v>13</v>
      </c>
      <c r="D439" s="12">
        <v>6</v>
      </c>
      <c r="E439" s="147">
        <f>IF(D439&lt;&gt;"",SUMIF(D435:D436,D439,L435:L436),"")</f>
        <v>3.67632</v>
      </c>
      <c r="F439" s="7" t="str">
        <f>IF(E439&lt;&gt;"","kg","")</f>
        <v>kg</v>
      </c>
      <c r="G439" s="229">
        <f>E439*H437</f>
        <v>3.67632</v>
      </c>
      <c r="H439" s="229"/>
      <c r="I439" s="16" t="s">
        <v>108</v>
      </c>
      <c r="N439" s="135"/>
    </row>
    <row r="440" spans="1:14">
      <c r="B440" s="6"/>
      <c r="C440" s="17"/>
      <c r="D440" s="18" t="s">
        <v>9</v>
      </c>
      <c r="E440" s="41">
        <f>SUM(E438:E439)</f>
        <v>30.249840000000003</v>
      </c>
      <c r="F440" s="19" t="s">
        <v>108</v>
      </c>
      <c r="G440" s="226">
        <f>SUM(G438:H439)</f>
        <v>30.249840000000003</v>
      </c>
      <c r="H440" s="226"/>
      <c r="I440" s="20" t="s">
        <v>108</v>
      </c>
      <c r="N440" s="135"/>
    </row>
    <row r="441" spans="1:14">
      <c r="C441" s="43"/>
      <c r="D441" s="44"/>
      <c r="E441" s="105"/>
      <c r="F441" s="45"/>
      <c r="G441" s="46"/>
      <c r="H441" s="46"/>
      <c r="I441" s="47"/>
    </row>
    <row r="442" spans="1:14">
      <c r="A442" s="119"/>
      <c r="B442" s="184" t="s">
        <v>182</v>
      </c>
      <c r="C442" s="184"/>
      <c r="D442" s="184"/>
      <c r="E442" s="184"/>
      <c r="F442" s="184"/>
      <c r="G442" s="184"/>
      <c r="H442" s="184"/>
      <c r="I442" s="184"/>
      <c r="J442" s="184"/>
      <c r="K442" s="184"/>
      <c r="L442" s="184"/>
      <c r="M442" s="184"/>
      <c r="N442" s="135"/>
    </row>
    <row r="443" spans="1:14" ht="11.25" customHeight="1">
      <c r="A443" s="119"/>
      <c r="B443" s="185" t="s">
        <v>0</v>
      </c>
      <c r="C443" s="186" t="s">
        <v>1</v>
      </c>
      <c r="D443" s="186"/>
      <c r="E443" s="187" t="s">
        <v>2</v>
      </c>
      <c r="F443" s="187" t="s">
        <v>16</v>
      </c>
      <c r="G443" s="187"/>
      <c r="H443" s="188" t="s">
        <v>4</v>
      </c>
      <c r="I443" s="188"/>
      <c r="J443" s="189" t="s">
        <v>5</v>
      </c>
      <c r="K443" s="191" t="s">
        <v>123</v>
      </c>
      <c r="L443" s="191"/>
      <c r="M443" s="192" t="s">
        <v>14</v>
      </c>
      <c r="N443" s="135"/>
    </row>
    <row r="444" spans="1:14" ht="11.25" customHeight="1">
      <c r="A444" s="119"/>
      <c r="B444" s="185"/>
      <c r="C444" s="186"/>
      <c r="D444" s="186"/>
      <c r="E444" s="187"/>
      <c r="F444" s="187"/>
      <c r="G444" s="187"/>
      <c r="H444" s="188"/>
      <c r="I444" s="188"/>
      <c r="J444" s="190"/>
      <c r="K444" s="21" t="s">
        <v>6</v>
      </c>
      <c r="L444" s="22" t="s">
        <v>7</v>
      </c>
      <c r="M444" s="192"/>
      <c r="N444" s="135"/>
    </row>
    <row r="445" spans="1:14" ht="11.25" customHeight="1">
      <c r="A445" s="120"/>
      <c r="B445" s="31" t="s">
        <v>10</v>
      </c>
      <c r="C445" s="25" t="s">
        <v>13</v>
      </c>
      <c r="D445" s="12">
        <v>16</v>
      </c>
      <c r="E445" s="3">
        <f>VLOOKUP(D445,Dane!$A$1:$B$13,2)</f>
        <v>1.5780000000000001</v>
      </c>
      <c r="F445" s="158">
        <v>561</v>
      </c>
      <c r="G445" s="158"/>
      <c r="H445" s="173">
        <v>4</v>
      </c>
      <c r="I445" s="174"/>
      <c r="J445" s="29" t="s">
        <v>18</v>
      </c>
      <c r="K445" s="14">
        <f>IF(H445&lt;&gt;"",(E445*F445*0.01),"")</f>
        <v>8.8525800000000014</v>
      </c>
      <c r="L445" s="26">
        <f>IF(H445&lt;&gt;"",H445*K445,"")</f>
        <v>35.410320000000006</v>
      </c>
      <c r="M445" s="32" t="s">
        <v>235</v>
      </c>
      <c r="N445" s="135"/>
    </row>
    <row r="446" spans="1:14">
      <c r="A446" s="120"/>
      <c r="B446" s="31" t="s">
        <v>11</v>
      </c>
      <c r="C446" s="25" t="s">
        <v>13</v>
      </c>
      <c r="D446" s="12">
        <v>6</v>
      </c>
      <c r="E446" s="3">
        <f>VLOOKUP(D446,Dane!$A$1:$B$13,2)</f>
        <v>0.222</v>
      </c>
      <c r="F446" s="158">
        <v>92</v>
      </c>
      <c r="G446" s="158"/>
      <c r="H446" s="159">
        <v>24</v>
      </c>
      <c r="I446" s="160"/>
      <c r="J446" s="29" t="s">
        <v>18</v>
      </c>
      <c r="K446" s="14">
        <f>IF(H446&lt;&gt;"",(E446*F446*0.01),"")</f>
        <v>0.20424</v>
      </c>
      <c r="L446" s="24">
        <f>IF(H446&lt;&gt;"",H446*K446,"")</f>
        <v>4.9017600000000003</v>
      </c>
      <c r="M446" s="237" t="s">
        <v>128</v>
      </c>
      <c r="N446" s="135"/>
    </row>
    <row r="447" spans="1:14">
      <c r="A447" s="121"/>
      <c r="B447" s="34"/>
      <c r="C447" s="178" t="s">
        <v>1</v>
      </c>
      <c r="D447" s="178"/>
      <c r="E447" s="179" t="s">
        <v>8</v>
      </c>
      <c r="F447" s="179"/>
      <c r="G447" s="35" t="s">
        <v>15</v>
      </c>
      <c r="H447" s="36">
        <v>1</v>
      </c>
      <c r="I447" s="37"/>
      <c r="J447" s="38"/>
      <c r="K447" s="39"/>
      <c r="L447" s="39" t="str">
        <f>IF(SUM(L445:L446)=E450,"","BŁĄD")</f>
        <v/>
      </c>
      <c r="M447" s="38"/>
      <c r="N447" s="135"/>
    </row>
    <row r="448" spans="1:14">
      <c r="A448" s="121"/>
      <c r="B448" s="6"/>
      <c r="C448" s="25" t="s">
        <v>13</v>
      </c>
      <c r="D448" s="12">
        <v>16</v>
      </c>
      <c r="E448" s="145">
        <f>IF(D448&lt;&gt;"",SUMIF(D445:D446,D448,L445:L446),"")</f>
        <v>35.410320000000006</v>
      </c>
      <c r="F448" s="7" t="str">
        <f>IF(E448&lt;&gt;"","kg","")</f>
        <v>kg</v>
      </c>
      <c r="G448" s="227">
        <f>E448*H447</f>
        <v>35.410320000000006</v>
      </c>
      <c r="H448" s="228"/>
      <c r="I448" s="16" t="s">
        <v>108</v>
      </c>
      <c r="N448" s="135"/>
    </row>
    <row r="449" spans="1:14">
      <c r="A449" s="121"/>
      <c r="B449" s="6"/>
      <c r="C449" s="25" t="s">
        <v>13</v>
      </c>
      <c r="D449" s="12">
        <v>6</v>
      </c>
      <c r="E449" s="147">
        <f>IF(D449&lt;&gt;"",SUMIF(D445:D446,D449,L445:L446),"")</f>
        <v>4.9017600000000003</v>
      </c>
      <c r="F449" s="7" t="str">
        <f>IF(E449&lt;&gt;"","kg","")</f>
        <v>kg</v>
      </c>
      <c r="G449" s="229">
        <f>E449*H447</f>
        <v>4.9017600000000003</v>
      </c>
      <c r="H449" s="229"/>
      <c r="I449" s="16" t="s">
        <v>108</v>
      </c>
      <c r="N449" s="135"/>
    </row>
    <row r="450" spans="1:14">
      <c r="A450" s="121"/>
      <c r="B450" s="6"/>
      <c r="C450" s="17"/>
      <c r="D450" s="18" t="s">
        <v>9</v>
      </c>
      <c r="E450" s="41">
        <f>SUM(E448:E449)</f>
        <v>40.312080000000009</v>
      </c>
      <c r="F450" s="19" t="s">
        <v>108</v>
      </c>
      <c r="G450" s="226">
        <f>SUM(G448:H449)</f>
        <v>40.312080000000009</v>
      </c>
      <c r="H450" s="226"/>
      <c r="I450" s="20" t="s">
        <v>108</v>
      </c>
      <c r="N450" s="135"/>
    </row>
    <row r="451" spans="1:14">
      <c r="A451" s="8"/>
      <c r="C451" s="48"/>
      <c r="D451" s="146"/>
      <c r="E451" s="49"/>
      <c r="F451" s="50"/>
      <c r="G451" s="50"/>
      <c r="H451" s="40"/>
      <c r="J451" s="11"/>
      <c r="L451" s="4"/>
    </row>
    <row r="452" spans="1:14">
      <c r="A452" s="8"/>
      <c r="B452" s="184" t="s">
        <v>231</v>
      </c>
      <c r="C452" s="184"/>
      <c r="D452" s="184"/>
      <c r="E452" s="184"/>
      <c r="F452" s="184"/>
      <c r="G452" s="184"/>
      <c r="H452" s="184"/>
      <c r="I452" s="184"/>
      <c r="J452" s="184"/>
      <c r="K452" s="184"/>
      <c r="L452" s="184"/>
      <c r="M452" s="184"/>
      <c r="N452" s="135"/>
    </row>
    <row r="453" spans="1:14">
      <c r="A453" s="8"/>
      <c r="B453" s="185" t="s">
        <v>0</v>
      </c>
      <c r="C453" s="186" t="s">
        <v>1</v>
      </c>
      <c r="D453" s="186"/>
      <c r="E453" s="187" t="s">
        <v>2</v>
      </c>
      <c r="F453" s="187" t="s">
        <v>16</v>
      </c>
      <c r="G453" s="187"/>
      <c r="H453" s="188" t="s">
        <v>4</v>
      </c>
      <c r="I453" s="188"/>
      <c r="J453" s="189" t="s">
        <v>5</v>
      </c>
      <c r="K453" s="191" t="s">
        <v>123</v>
      </c>
      <c r="L453" s="191"/>
      <c r="M453" s="192" t="s">
        <v>14</v>
      </c>
      <c r="N453" s="135"/>
    </row>
    <row r="454" spans="1:14">
      <c r="A454" s="8"/>
      <c r="B454" s="185"/>
      <c r="C454" s="186"/>
      <c r="D454" s="186"/>
      <c r="E454" s="187"/>
      <c r="F454" s="187"/>
      <c r="G454" s="187"/>
      <c r="H454" s="188"/>
      <c r="I454" s="188"/>
      <c r="J454" s="190"/>
      <c r="K454" s="21" t="s">
        <v>6</v>
      </c>
      <c r="L454" s="22" t="s">
        <v>7</v>
      </c>
      <c r="M454" s="192"/>
      <c r="N454" s="135"/>
    </row>
    <row r="455" spans="1:14">
      <c r="A455" s="8"/>
      <c r="B455" s="31" t="s">
        <v>10</v>
      </c>
      <c r="C455" s="25" t="s">
        <v>13</v>
      </c>
      <c r="D455" s="12">
        <v>16</v>
      </c>
      <c r="E455" s="3">
        <f>VLOOKUP(D455,Dane!$A$1:$B$13,2)</f>
        <v>1.5780000000000001</v>
      </c>
      <c r="F455" s="158">
        <v>410</v>
      </c>
      <c r="G455" s="158"/>
      <c r="H455" s="173">
        <v>12</v>
      </c>
      <c r="I455" s="174"/>
      <c r="J455" s="29" t="s">
        <v>18</v>
      </c>
      <c r="K455" s="14">
        <f>IF(H455&lt;&gt;"",(E455*F455*0.01),"")</f>
        <v>6.4698000000000002</v>
      </c>
      <c r="L455" s="26">
        <f>IF(H455&lt;&gt;"",H455*K455,"")</f>
        <v>77.637600000000006</v>
      </c>
      <c r="M455" s="32" t="s">
        <v>138</v>
      </c>
      <c r="N455" s="135"/>
    </row>
    <row r="456" spans="1:14">
      <c r="A456" s="8"/>
      <c r="B456" s="31" t="s">
        <v>11</v>
      </c>
      <c r="C456" s="25" t="s">
        <v>13</v>
      </c>
      <c r="D456" s="12">
        <v>16</v>
      </c>
      <c r="E456" s="3">
        <f>VLOOKUP(D456,Dane!$A$1:$B$13,2)</f>
        <v>1.5780000000000001</v>
      </c>
      <c r="F456" s="158">
        <v>350</v>
      </c>
      <c r="G456" s="158"/>
      <c r="H456" s="159">
        <v>4</v>
      </c>
      <c r="I456" s="160"/>
      <c r="J456" s="29" t="s">
        <v>18</v>
      </c>
      <c r="K456" s="14">
        <f>IF(H456&lt;&gt;"",(E456*F456*0.01),"")</f>
        <v>5.5230000000000006</v>
      </c>
      <c r="L456" s="24">
        <f>IF(H456&lt;&gt;"",H456*K456,"")</f>
        <v>22.092000000000002</v>
      </c>
      <c r="M456" s="33" t="s">
        <v>184</v>
      </c>
      <c r="N456" s="135"/>
    </row>
    <row r="457" spans="1:14">
      <c r="A457" s="8"/>
      <c r="B457" s="31" t="s">
        <v>12</v>
      </c>
      <c r="C457" s="25" t="s">
        <v>13</v>
      </c>
      <c r="D457" s="12">
        <v>16</v>
      </c>
      <c r="E457" s="3">
        <f>VLOOKUP(D457,Dane!$A$1:$B$13,2)</f>
        <v>1.5780000000000001</v>
      </c>
      <c r="F457" s="158">
        <v>354</v>
      </c>
      <c r="G457" s="158"/>
      <c r="H457" s="159">
        <v>4</v>
      </c>
      <c r="I457" s="160"/>
      <c r="J457" s="29" t="s">
        <v>18</v>
      </c>
      <c r="K457" s="14">
        <f t="shared" ref="K457:K468" si="24">IF(H457&lt;&gt;"",(E457*F457*0.01),"")</f>
        <v>5.5861200000000011</v>
      </c>
      <c r="L457" s="24">
        <f t="shared" ref="L457:L468" si="25">IF(H457&lt;&gt;"",H457*K457,"")</f>
        <v>22.344480000000004</v>
      </c>
      <c r="M457" s="33" t="s">
        <v>227</v>
      </c>
      <c r="N457" s="135"/>
    </row>
    <row r="458" spans="1:14">
      <c r="A458" s="8"/>
      <c r="B458" s="31" t="s">
        <v>26</v>
      </c>
      <c r="C458" s="25" t="s">
        <v>13</v>
      </c>
      <c r="D458" s="12">
        <v>16</v>
      </c>
      <c r="E458" s="3">
        <f>VLOOKUP(D458,Dane!$A$1:$B$13,2)</f>
        <v>1.5780000000000001</v>
      </c>
      <c r="F458" s="158">
        <v>300</v>
      </c>
      <c r="G458" s="158"/>
      <c r="H458" s="159">
        <v>4</v>
      </c>
      <c r="I458" s="160"/>
      <c r="J458" s="29" t="s">
        <v>18</v>
      </c>
      <c r="K458" s="14">
        <f t="shared" si="24"/>
        <v>4.7340000000000009</v>
      </c>
      <c r="L458" s="24">
        <f t="shared" si="25"/>
        <v>18.936000000000003</v>
      </c>
      <c r="M458" s="33" t="s">
        <v>228</v>
      </c>
      <c r="N458" s="135"/>
    </row>
    <row r="459" spans="1:14">
      <c r="A459" s="8"/>
      <c r="B459" s="31" t="s">
        <v>50</v>
      </c>
      <c r="C459" s="25" t="s">
        <v>13</v>
      </c>
      <c r="D459" s="12">
        <v>12</v>
      </c>
      <c r="E459" s="3">
        <f>VLOOKUP(D459,Dane!$A$1:$B$13,2)</f>
        <v>0.88800000000000001</v>
      </c>
      <c r="F459" s="158">
        <v>910</v>
      </c>
      <c r="G459" s="158"/>
      <c r="H459" s="159">
        <v>4</v>
      </c>
      <c r="I459" s="160"/>
      <c r="J459" s="29" t="s">
        <v>18</v>
      </c>
      <c r="K459" s="14">
        <f t="shared" si="24"/>
        <v>8.0808</v>
      </c>
      <c r="L459" s="24">
        <f t="shared" si="25"/>
        <v>32.3232</v>
      </c>
      <c r="M459" s="33" t="s">
        <v>184</v>
      </c>
      <c r="N459" s="135"/>
    </row>
    <row r="460" spans="1:14">
      <c r="A460" s="8"/>
      <c r="B460" s="31" t="s">
        <v>51</v>
      </c>
      <c r="C460" s="25" t="s">
        <v>13</v>
      </c>
      <c r="D460" s="12">
        <v>12</v>
      </c>
      <c r="E460" s="3">
        <f>VLOOKUP(D460,Dane!$A$1:$B$13,2)</f>
        <v>0.88800000000000001</v>
      </c>
      <c r="F460" s="158">
        <v>870</v>
      </c>
      <c r="G460" s="158"/>
      <c r="H460" s="159">
        <v>4</v>
      </c>
      <c r="I460" s="160"/>
      <c r="J460" s="29" t="s">
        <v>18</v>
      </c>
      <c r="K460" s="14">
        <f t="shared" si="24"/>
        <v>7.7256000000000009</v>
      </c>
      <c r="L460" s="24">
        <f t="shared" si="25"/>
        <v>30.902400000000004</v>
      </c>
      <c r="M460" s="33" t="s">
        <v>184</v>
      </c>
      <c r="N460" s="135"/>
    </row>
    <row r="461" spans="1:14">
      <c r="A461" s="8"/>
      <c r="B461" s="136" t="s">
        <v>70</v>
      </c>
      <c r="C461" s="137" t="s">
        <v>13</v>
      </c>
      <c r="D461" s="12">
        <v>12</v>
      </c>
      <c r="E461" s="3">
        <f>VLOOKUP(D461,Dane!$A$1:$B$13,2)</f>
        <v>0.88800000000000001</v>
      </c>
      <c r="F461" s="158">
        <v>221</v>
      </c>
      <c r="G461" s="158"/>
      <c r="H461" s="159">
        <v>4</v>
      </c>
      <c r="I461" s="160"/>
      <c r="J461" s="138" t="s">
        <v>18</v>
      </c>
      <c r="K461" s="14">
        <f t="shared" si="24"/>
        <v>1.96248</v>
      </c>
      <c r="L461" s="24">
        <f t="shared" si="25"/>
        <v>7.84992</v>
      </c>
      <c r="M461" s="33" t="s">
        <v>229</v>
      </c>
      <c r="N461" s="135"/>
    </row>
    <row r="462" spans="1:14">
      <c r="A462" s="8"/>
      <c r="B462" s="136" t="s">
        <v>125</v>
      </c>
      <c r="C462" s="137" t="s">
        <v>13</v>
      </c>
      <c r="D462" s="12">
        <v>12</v>
      </c>
      <c r="E462" s="3">
        <f>VLOOKUP(D462,Dane!$A$1:$B$13,2)</f>
        <v>0.88800000000000001</v>
      </c>
      <c r="F462" s="158">
        <v>202</v>
      </c>
      <c r="G462" s="158"/>
      <c r="H462" s="159">
        <v>4</v>
      </c>
      <c r="I462" s="160"/>
      <c r="J462" s="138" t="s">
        <v>18</v>
      </c>
      <c r="K462" s="14">
        <f t="shared" si="24"/>
        <v>1.79376</v>
      </c>
      <c r="L462" s="24">
        <f t="shared" si="25"/>
        <v>7.1750400000000001</v>
      </c>
      <c r="M462" s="33" t="s">
        <v>229</v>
      </c>
      <c r="N462" s="135"/>
    </row>
    <row r="463" spans="1:14">
      <c r="A463" s="8"/>
      <c r="B463" s="31" t="s">
        <v>192</v>
      </c>
      <c r="C463" s="25" t="s">
        <v>13</v>
      </c>
      <c r="D463" s="12">
        <v>16</v>
      </c>
      <c r="E463" s="3">
        <f>VLOOKUP(D463,Dane!$A$1:$B$13,2)</f>
        <v>1.5780000000000001</v>
      </c>
      <c r="F463" s="158">
        <v>637</v>
      </c>
      <c r="G463" s="158"/>
      <c r="H463" s="159">
        <v>4</v>
      </c>
      <c r="I463" s="160"/>
      <c r="J463" s="29" t="s">
        <v>18</v>
      </c>
      <c r="K463" s="14">
        <f t="shared" si="24"/>
        <v>10.051860000000001</v>
      </c>
      <c r="L463" s="24">
        <f t="shared" si="25"/>
        <v>40.207440000000005</v>
      </c>
      <c r="M463" s="33" t="s">
        <v>230</v>
      </c>
      <c r="N463" s="135"/>
    </row>
    <row r="464" spans="1:14">
      <c r="A464" s="8"/>
      <c r="B464" s="31" t="s">
        <v>221</v>
      </c>
      <c r="C464" s="25" t="s">
        <v>13</v>
      </c>
      <c r="D464" s="12">
        <v>16</v>
      </c>
      <c r="E464" s="3">
        <f>VLOOKUP(D464,Dane!$A$1:$B$13,2)</f>
        <v>1.5780000000000001</v>
      </c>
      <c r="F464" s="158">
        <v>673</v>
      </c>
      <c r="G464" s="158"/>
      <c r="H464" s="159">
        <v>4</v>
      </c>
      <c r="I464" s="160"/>
      <c r="J464" s="29" t="s">
        <v>18</v>
      </c>
      <c r="K464" s="14">
        <f t="shared" si="24"/>
        <v>10.619940000000001</v>
      </c>
      <c r="L464" s="24">
        <f t="shared" si="25"/>
        <v>42.479760000000006</v>
      </c>
      <c r="M464" s="33" t="s">
        <v>184</v>
      </c>
      <c r="N464" s="135"/>
    </row>
    <row r="465" spans="1:14">
      <c r="A465" s="8"/>
      <c r="B465" s="31" t="s">
        <v>222</v>
      </c>
      <c r="C465" s="25" t="s">
        <v>13</v>
      </c>
      <c r="D465" s="12">
        <v>12</v>
      </c>
      <c r="E465" s="3">
        <f>VLOOKUP(D465,Dane!$A$1:$B$13,2)</f>
        <v>0.88800000000000001</v>
      </c>
      <c r="F465" s="158">
        <v>947</v>
      </c>
      <c r="G465" s="158"/>
      <c r="H465" s="159">
        <v>4</v>
      </c>
      <c r="I465" s="160"/>
      <c r="J465" s="29" t="s">
        <v>18</v>
      </c>
      <c r="K465" s="14">
        <f t="shared" si="24"/>
        <v>8.4093600000000013</v>
      </c>
      <c r="L465" s="24">
        <f t="shared" si="25"/>
        <v>33.637440000000005</v>
      </c>
      <c r="M465" s="33" t="s">
        <v>229</v>
      </c>
      <c r="N465" s="135"/>
    </row>
    <row r="466" spans="1:14">
      <c r="A466" s="8"/>
      <c r="B466" s="31" t="s">
        <v>223</v>
      </c>
      <c r="C466" s="25" t="s">
        <v>13</v>
      </c>
      <c r="D466" s="12">
        <v>12</v>
      </c>
      <c r="E466" s="3">
        <f>VLOOKUP(D466,Dane!$A$1:$B$13,2)</f>
        <v>0.88800000000000001</v>
      </c>
      <c r="F466" s="158">
        <v>177</v>
      </c>
      <c r="G466" s="158"/>
      <c r="H466" s="159">
        <v>4</v>
      </c>
      <c r="I466" s="160"/>
      <c r="J466" s="29" t="s">
        <v>18</v>
      </c>
      <c r="K466" s="14">
        <f t="shared" si="24"/>
        <v>1.5717600000000003</v>
      </c>
      <c r="L466" s="24">
        <f t="shared" si="25"/>
        <v>6.2870400000000011</v>
      </c>
      <c r="M466" s="33" t="s">
        <v>229</v>
      </c>
      <c r="N466" s="135"/>
    </row>
    <row r="467" spans="1:14">
      <c r="A467" s="8"/>
      <c r="B467" s="31" t="s">
        <v>224</v>
      </c>
      <c r="C467" s="25" t="s">
        <v>13</v>
      </c>
      <c r="D467" s="12">
        <v>12</v>
      </c>
      <c r="E467" s="3">
        <f>VLOOKUP(D467,Dane!$A$1:$B$13,2)</f>
        <v>0.88800000000000001</v>
      </c>
      <c r="F467" s="158">
        <v>196</v>
      </c>
      <c r="G467" s="158"/>
      <c r="H467" s="159">
        <v>4</v>
      </c>
      <c r="I467" s="160"/>
      <c r="J467" s="29" t="s">
        <v>18</v>
      </c>
      <c r="K467" s="14">
        <f t="shared" si="24"/>
        <v>1.74048</v>
      </c>
      <c r="L467" s="24">
        <f t="shared" si="25"/>
        <v>6.9619200000000001</v>
      </c>
      <c r="M467" s="33" t="s">
        <v>229</v>
      </c>
      <c r="N467" s="135"/>
    </row>
    <row r="468" spans="1:14">
      <c r="A468" s="8"/>
      <c r="B468" s="31" t="s">
        <v>225</v>
      </c>
      <c r="C468" s="25" t="s">
        <v>13</v>
      </c>
      <c r="D468" s="12">
        <v>12</v>
      </c>
      <c r="E468" s="3">
        <f>VLOOKUP(D468,Dane!$A$1:$B$13,2)</f>
        <v>0.88800000000000001</v>
      </c>
      <c r="F468" s="158">
        <v>350</v>
      </c>
      <c r="G468" s="158"/>
      <c r="H468" s="159">
        <v>4</v>
      </c>
      <c r="I468" s="160"/>
      <c r="J468" s="29" t="s">
        <v>18</v>
      </c>
      <c r="K468" s="14">
        <f t="shared" si="24"/>
        <v>3.1080000000000001</v>
      </c>
      <c r="L468" s="24">
        <f t="shared" si="25"/>
        <v>12.432</v>
      </c>
      <c r="M468" s="33" t="s">
        <v>184</v>
      </c>
      <c r="N468" s="135"/>
    </row>
    <row r="469" spans="1:14">
      <c r="A469" s="8"/>
      <c r="B469" s="31" t="s">
        <v>20</v>
      </c>
      <c r="C469" s="25" t="s">
        <v>13</v>
      </c>
      <c r="D469" s="12">
        <v>6</v>
      </c>
      <c r="E469" s="3">
        <f>VLOOKUP(D469,Dane!$A$1:$B$13,2)</f>
        <v>0.222</v>
      </c>
      <c r="F469" s="158">
        <v>92</v>
      </c>
      <c r="G469" s="158"/>
      <c r="H469" s="159">
        <v>368</v>
      </c>
      <c r="I469" s="160"/>
      <c r="J469" s="29" t="s">
        <v>18</v>
      </c>
      <c r="K469" s="14">
        <f>IF(H469&lt;&gt;"",(E469*F469*0.01),"")</f>
        <v>0.20424</v>
      </c>
      <c r="L469" s="24">
        <f>IF(H469&lt;&gt;"",H469*K469,"")</f>
        <v>75.160319999999999</v>
      </c>
      <c r="M469" s="237" t="s">
        <v>226</v>
      </c>
      <c r="N469" s="135"/>
    </row>
    <row r="470" spans="1:14">
      <c r="A470" s="8"/>
      <c r="B470" s="34"/>
      <c r="C470" s="178" t="s">
        <v>1</v>
      </c>
      <c r="D470" s="178"/>
      <c r="E470" s="179" t="s">
        <v>8</v>
      </c>
      <c r="F470" s="179"/>
      <c r="G470" s="35" t="s">
        <v>15</v>
      </c>
      <c r="H470" s="36">
        <v>1</v>
      </c>
      <c r="I470" s="37"/>
      <c r="J470" s="38"/>
      <c r="K470" s="39"/>
      <c r="L470" s="39" t="str">
        <f>IF(SUM(L455:L469)=E474,"","BŁĄD")</f>
        <v/>
      </c>
      <c r="M470" s="38"/>
      <c r="N470" s="135"/>
    </row>
    <row r="471" spans="1:14">
      <c r="A471" s="8"/>
      <c r="B471" s="6"/>
      <c r="C471" s="25" t="s">
        <v>13</v>
      </c>
      <c r="D471" s="12">
        <v>16</v>
      </c>
      <c r="E471" s="145">
        <f>IF(D471&lt;&gt;"",SUMIF(D455:D469,D471,L455:L469),"")</f>
        <v>223.69728000000003</v>
      </c>
      <c r="F471" s="7" t="str">
        <f>IF(E471&lt;&gt;"","kg","")</f>
        <v>kg</v>
      </c>
      <c r="G471" s="227">
        <f>E471*H470</f>
        <v>223.69728000000003</v>
      </c>
      <c r="H471" s="228"/>
      <c r="I471" s="16" t="s">
        <v>108</v>
      </c>
      <c r="N471" s="135"/>
    </row>
    <row r="472" spans="1:14">
      <c r="A472" s="8"/>
      <c r="B472" s="6"/>
      <c r="C472" s="25" t="s">
        <v>13</v>
      </c>
      <c r="D472" s="12">
        <v>12</v>
      </c>
      <c r="E472" s="143">
        <f>IF(D472&lt;&gt;"",SUMIF(D455:D469,D472,L455:L469),"")</f>
        <v>137.56896</v>
      </c>
      <c r="F472" s="7" t="str">
        <f>IF(E472&lt;&gt;"","kg","")</f>
        <v>kg</v>
      </c>
      <c r="G472" s="224">
        <f>E472*H470</f>
        <v>137.56896</v>
      </c>
      <c r="H472" s="225"/>
      <c r="I472" s="16" t="s">
        <v>108</v>
      </c>
      <c r="N472" s="135"/>
    </row>
    <row r="473" spans="1:14">
      <c r="A473" s="8"/>
      <c r="B473" s="6"/>
      <c r="C473" s="25" t="s">
        <v>13</v>
      </c>
      <c r="D473" s="12">
        <v>6</v>
      </c>
      <c r="E473" s="147">
        <f>IF(D473&lt;&gt;"",SUMIF(D455:D469,D473,L455:L469),"")</f>
        <v>75.160319999999999</v>
      </c>
      <c r="F473" s="7" t="str">
        <f>IF(E473&lt;&gt;"","kg","")</f>
        <v>kg</v>
      </c>
      <c r="G473" s="229">
        <f>E473*H470</f>
        <v>75.160319999999999</v>
      </c>
      <c r="H473" s="229"/>
      <c r="I473" s="16" t="s">
        <v>108</v>
      </c>
      <c r="N473" s="135"/>
    </row>
    <row r="474" spans="1:14">
      <c r="A474" s="8"/>
      <c r="B474" s="6"/>
      <c r="C474" s="17"/>
      <c r="D474" s="18" t="s">
        <v>9</v>
      </c>
      <c r="E474" s="13">
        <f>SUM(E471:E473)</f>
        <v>436.42656000000005</v>
      </c>
      <c r="F474" s="19" t="s">
        <v>108</v>
      </c>
      <c r="G474" s="226">
        <f>SUM(G471:H473)</f>
        <v>436.42656000000005</v>
      </c>
      <c r="H474" s="226"/>
      <c r="I474" s="20" t="s">
        <v>108</v>
      </c>
      <c r="N474" s="135"/>
    </row>
    <row r="475" spans="1:14">
      <c r="A475" s="8"/>
      <c r="C475" s="48"/>
      <c r="D475" s="146"/>
      <c r="E475" s="49"/>
      <c r="F475" s="50"/>
      <c r="G475" s="50"/>
      <c r="H475" s="40"/>
      <c r="J475" s="11"/>
      <c r="L475" s="4"/>
    </row>
    <row r="476" spans="1:14">
      <c r="C476" s="234" t="s">
        <v>124</v>
      </c>
      <c r="D476" s="235"/>
      <c r="E476" s="235"/>
      <c r="F476" s="236"/>
    </row>
    <row r="477" spans="1:14">
      <c r="C477" s="92" t="s">
        <v>13</v>
      </c>
      <c r="D477" s="9">
        <v>16</v>
      </c>
      <c r="E477" s="68">
        <f>G143+G66+G177+G21+G260+G249+G238+G227+G217+G197+G207+G187+G438+G428+G418+G408+G397+G386+G376+G365+G355+G345+G324+G313+G302+G291+G281+G271+G448+G471+G335</f>
        <v>2865.6006599999996</v>
      </c>
      <c r="F477" s="93" t="s">
        <v>108</v>
      </c>
    </row>
    <row r="478" spans="1:14">
      <c r="C478" s="92" t="s">
        <v>13</v>
      </c>
      <c r="D478" s="9">
        <v>12</v>
      </c>
      <c r="E478" s="68">
        <f ca="1">G165+G144+G76+G54+G11+G30+G472+G127+G86</f>
        <v>3367.5979200000006</v>
      </c>
      <c r="F478" s="93" t="s">
        <v>108</v>
      </c>
    </row>
    <row r="479" spans="1:14">
      <c r="C479" s="92" t="s">
        <v>13</v>
      </c>
      <c r="D479" s="9">
        <v>10</v>
      </c>
      <c r="E479" s="68">
        <f>G65+G53+G105+G41+G119+G166</f>
        <v>1448.8023799999999</v>
      </c>
      <c r="F479" s="93" t="s">
        <v>108</v>
      </c>
    </row>
    <row r="480" spans="1:14">
      <c r="C480" s="92" t="s">
        <v>13</v>
      </c>
      <c r="D480" s="9">
        <v>8</v>
      </c>
      <c r="E480" s="68">
        <f ca="1">G167+G106+G42</f>
        <v>1185.4582</v>
      </c>
      <c r="F480" s="93" t="s">
        <v>108</v>
      </c>
    </row>
    <row r="481" spans="3:6">
      <c r="C481" s="92" t="s">
        <v>13</v>
      </c>
      <c r="D481" s="9">
        <v>6</v>
      </c>
      <c r="E481" s="68">
        <f>G168+G145+G77+G67+G55+G178+G22+G12++G188+G261+G250+G239+G228+G218+G208+G198+G439+G429+G419+G409+G398+G387+G377+G366+G356+G346+G325+G314+G303+G292+G282+G272+G449+G107+G43+G473+G87+G336</f>
        <v>1426.9849200000006</v>
      </c>
      <c r="F481" s="93" t="s">
        <v>108</v>
      </c>
    </row>
    <row r="482" spans="3:6">
      <c r="C482" s="94"/>
      <c r="D482" s="133" t="s">
        <v>249</v>
      </c>
      <c r="E482" s="95">
        <f ca="1">SUM(E477:E481)</f>
        <v>10294.444080000001</v>
      </c>
      <c r="F482" s="96" t="s">
        <v>108</v>
      </c>
    </row>
    <row r="484" spans="3:6">
      <c r="D484" s="132" t="s">
        <v>248</v>
      </c>
    </row>
  </sheetData>
  <sheetProtection selectLockedCells="1" selectUnlockedCells="1"/>
  <mergeCells count="860">
    <mergeCell ref="F162:G162"/>
    <mergeCell ref="H162:I162"/>
    <mergeCell ref="F163:G163"/>
    <mergeCell ref="H163:I163"/>
    <mergeCell ref="G166:H166"/>
    <mergeCell ref="F153:G153"/>
    <mergeCell ref="H153:I153"/>
    <mergeCell ref="F154:G154"/>
    <mergeCell ref="H154:I154"/>
    <mergeCell ref="F155:G155"/>
    <mergeCell ref="H155:I155"/>
    <mergeCell ref="F156:G156"/>
    <mergeCell ref="H156:I156"/>
    <mergeCell ref="F157:G157"/>
    <mergeCell ref="H157:I157"/>
    <mergeCell ref="F161:G161"/>
    <mergeCell ref="H161:I161"/>
    <mergeCell ref="G335:H335"/>
    <mergeCell ref="G336:H336"/>
    <mergeCell ref="G337:H337"/>
    <mergeCell ref="J329:J330"/>
    <mergeCell ref="K329:L329"/>
    <mergeCell ref="M329:M330"/>
    <mergeCell ref="F331:G331"/>
    <mergeCell ref="H331:I331"/>
    <mergeCell ref="F332:G332"/>
    <mergeCell ref="H332:I332"/>
    <mergeCell ref="F333:G333"/>
    <mergeCell ref="H333:I333"/>
    <mergeCell ref="F84:G84"/>
    <mergeCell ref="H84:I84"/>
    <mergeCell ref="C85:D85"/>
    <mergeCell ref="E85:F85"/>
    <mergeCell ref="G86:H86"/>
    <mergeCell ref="G87:H87"/>
    <mergeCell ref="G88:H88"/>
    <mergeCell ref="C334:D334"/>
    <mergeCell ref="E334:F334"/>
    <mergeCell ref="G106:H106"/>
    <mergeCell ref="G107:H107"/>
    <mergeCell ref="F320:G320"/>
    <mergeCell ref="H320:I320"/>
    <mergeCell ref="F321:G321"/>
    <mergeCell ref="H321:I321"/>
    <mergeCell ref="F322:G322"/>
    <mergeCell ref="H322:I322"/>
    <mergeCell ref="C323:D323"/>
    <mergeCell ref="E323:F323"/>
    <mergeCell ref="G324:H324"/>
    <mergeCell ref="G314:H314"/>
    <mergeCell ref="G315:H315"/>
    <mergeCell ref="B317:M317"/>
    <mergeCell ref="B318:B319"/>
    <mergeCell ref="F468:G468"/>
    <mergeCell ref="H468:I468"/>
    <mergeCell ref="F463:G463"/>
    <mergeCell ref="H463:I463"/>
    <mergeCell ref="F464:G464"/>
    <mergeCell ref="H464:I464"/>
    <mergeCell ref="F465:G465"/>
    <mergeCell ref="H465:I465"/>
    <mergeCell ref="F466:G466"/>
    <mergeCell ref="H466:I466"/>
    <mergeCell ref="F467:G467"/>
    <mergeCell ref="H467:I467"/>
    <mergeCell ref="F455:G455"/>
    <mergeCell ref="H455:I455"/>
    <mergeCell ref="F469:G469"/>
    <mergeCell ref="H469:I469"/>
    <mergeCell ref="C470:D470"/>
    <mergeCell ref="E470:F470"/>
    <mergeCell ref="G471:H471"/>
    <mergeCell ref="G473:H473"/>
    <mergeCell ref="G474:H474"/>
    <mergeCell ref="G472:H472"/>
    <mergeCell ref="F456:G456"/>
    <mergeCell ref="H456:I456"/>
    <mergeCell ref="F457:G457"/>
    <mergeCell ref="H457:I457"/>
    <mergeCell ref="F458:G458"/>
    <mergeCell ref="H458:I458"/>
    <mergeCell ref="F459:G459"/>
    <mergeCell ref="H459:I459"/>
    <mergeCell ref="F460:G460"/>
    <mergeCell ref="H460:I460"/>
    <mergeCell ref="F461:G461"/>
    <mergeCell ref="H461:I461"/>
    <mergeCell ref="F462:G462"/>
    <mergeCell ref="H462:I462"/>
    <mergeCell ref="F37:G37"/>
    <mergeCell ref="H37:I37"/>
    <mergeCell ref="F38:G38"/>
    <mergeCell ref="H38:I38"/>
    <mergeCell ref="B452:M452"/>
    <mergeCell ref="B453:B454"/>
    <mergeCell ref="C453:D454"/>
    <mergeCell ref="E453:E454"/>
    <mergeCell ref="F453:G454"/>
    <mergeCell ref="H453:I454"/>
    <mergeCell ref="J453:J454"/>
    <mergeCell ref="K453:L453"/>
    <mergeCell ref="M453:M454"/>
    <mergeCell ref="B80:M80"/>
    <mergeCell ref="B81:B82"/>
    <mergeCell ref="C81:D82"/>
    <mergeCell ref="E81:E82"/>
    <mergeCell ref="F81:G82"/>
    <mergeCell ref="H81:I82"/>
    <mergeCell ref="J81:J82"/>
    <mergeCell ref="K81:L81"/>
    <mergeCell ref="M81:M82"/>
    <mergeCell ref="F83:G83"/>
    <mergeCell ref="H83:I83"/>
    <mergeCell ref="F28:G28"/>
    <mergeCell ref="H28:I28"/>
    <mergeCell ref="C29:D29"/>
    <mergeCell ref="E29:F29"/>
    <mergeCell ref="G30:H30"/>
    <mergeCell ref="G42:H42"/>
    <mergeCell ref="G43:H43"/>
    <mergeCell ref="G44:H44"/>
    <mergeCell ref="B33:M33"/>
    <mergeCell ref="B34:B35"/>
    <mergeCell ref="C34:D35"/>
    <mergeCell ref="E34:E35"/>
    <mergeCell ref="F34:G35"/>
    <mergeCell ref="H34:I35"/>
    <mergeCell ref="J34:J35"/>
    <mergeCell ref="K34:L34"/>
    <mergeCell ref="M34:M35"/>
    <mergeCell ref="F36:G36"/>
    <mergeCell ref="H36:I36"/>
    <mergeCell ref="C40:D40"/>
    <mergeCell ref="E40:F40"/>
    <mergeCell ref="G41:H41"/>
    <mergeCell ref="F39:G39"/>
    <mergeCell ref="H39:I39"/>
    <mergeCell ref="G439:H439"/>
    <mergeCell ref="G440:H440"/>
    <mergeCell ref="F435:G435"/>
    <mergeCell ref="H435:I435"/>
    <mergeCell ref="F436:G436"/>
    <mergeCell ref="H436:I436"/>
    <mergeCell ref="C437:D437"/>
    <mergeCell ref="E437:F437"/>
    <mergeCell ref="G438:H438"/>
    <mergeCell ref="G429:H429"/>
    <mergeCell ref="G430:H430"/>
    <mergeCell ref="B432:M432"/>
    <mergeCell ref="B433:B434"/>
    <mergeCell ref="C433:D434"/>
    <mergeCell ref="E433:E434"/>
    <mergeCell ref="F433:G434"/>
    <mergeCell ref="H433:I434"/>
    <mergeCell ref="J433:J434"/>
    <mergeCell ref="K433:L433"/>
    <mergeCell ref="M433:M434"/>
    <mergeCell ref="F425:G425"/>
    <mergeCell ref="H425:I425"/>
    <mergeCell ref="F426:G426"/>
    <mergeCell ref="H426:I426"/>
    <mergeCell ref="C427:D427"/>
    <mergeCell ref="E427:F427"/>
    <mergeCell ref="G428:H428"/>
    <mergeCell ref="G419:H419"/>
    <mergeCell ref="G420:H420"/>
    <mergeCell ref="B422:M422"/>
    <mergeCell ref="B423:B424"/>
    <mergeCell ref="C423:D424"/>
    <mergeCell ref="E423:E424"/>
    <mergeCell ref="F423:G424"/>
    <mergeCell ref="H423:I424"/>
    <mergeCell ref="J423:J424"/>
    <mergeCell ref="K423:L423"/>
    <mergeCell ref="M423:M424"/>
    <mergeCell ref="F415:G415"/>
    <mergeCell ref="H415:I415"/>
    <mergeCell ref="F416:G416"/>
    <mergeCell ref="H416:I416"/>
    <mergeCell ref="C417:D417"/>
    <mergeCell ref="E417:F417"/>
    <mergeCell ref="G418:H418"/>
    <mergeCell ref="G409:H409"/>
    <mergeCell ref="G410:H410"/>
    <mergeCell ref="B412:M412"/>
    <mergeCell ref="B413:B414"/>
    <mergeCell ref="C413:D414"/>
    <mergeCell ref="E413:E414"/>
    <mergeCell ref="F413:G414"/>
    <mergeCell ref="H413:I414"/>
    <mergeCell ref="J413:J414"/>
    <mergeCell ref="K413:L413"/>
    <mergeCell ref="M413:M414"/>
    <mergeCell ref="F404:G404"/>
    <mergeCell ref="H404:I404"/>
    <mergeCell ref="F405:G405"/>
    <mergeCell ref="H405:I405"/>
    <mergeCell ref="F406:G406"/>
    <mergeCell ref="H406:I406"/>
    <mergeCell ref="C407:D407"/>
    <mergeCell ref="E407:F407"/>
    <mergeCell ref="G408:H408"/>
    <mergeCell ref="G398:H398"/>
    <mergeCell ref="G399:H399"/>
    <mergeCell ref="B401:M401"/>
    <mergeCell ref="B402:B403"/>
    <mergeCell ref="C402:D403"/>
    <mergeCell ref="E402:E403"/>
    <mergeCell ref="F402:G403"/>
    <mergeCell ref="H402:I403"/>
    <mergeCell ref="J402:J403"/>
    <mergeCell ref="K402:L402"/>
    <mergeCell ref="M402:M403"/>
    <mergeCell ref="F393:G393"/>
    <mergeCell ref="H393:I393"/>
    <mergeCell ref="F394:G394"/>
    <mergeCell ref="H394:I394"/>
    <mergeCell ref="F395:G395"/>
    <mergeCell ref="H395:I395"/>
    <mergeCell ref="C396:D396"/>
    <mergeCell ref="E396:F396"/>
    <mergeCell ref="G397:H397"/>
    <mergeCell ref="G387:H387"/>
    <mergeCell ref="G388:H388"/>
    <mergeCell ref="B390:M390"/>
    <mergeCell ref="B391:B392"/>
    <mergeCell ref="C391:D392"/>
    <mergeCell ref="E391:E392"/>
    <mergeCell ref="F391:G392"/>
    <mergeCell ref="H391:I392"/>
    <mergeCell ref="J391:J392"/>
    <mergeCell ref="K391:L391"/>
    <mergeCell ref="M391:M392"/>
    <mergeCell ref="F383:G383"/>
    <mergeCell ref="H383:I383"/>
    <mergeCell ref="F384:G384"/>
    <mergeCell ref="H384:I384"/>
    <mergeCell ref="C385:D385"/>
    <mergeCell ref="E385:F385"/>
    <mergeCell ref="G386:H386"/>
    <mergeCell ref="G377:H377"/>
    <mergeCell ref="G378:H378"/>
    <mergeCell ref="B380:M380"/>
    <mergeCell ref="B381:B382"/>
    <mergeCell ref="C381:D382"/>
    <mergeCell ref="E381:E382"/>
    <mergeCell ref="F381:G382"/>
    <mergeCell ref="H381:I382"/>
    <mergeCell ref="J381:J382"/>
    <mergeCell ref="K381:L381"/>
    <mergeCell ref="M381:M382"/>
    <mergeCell ref="F372:G372"/>
    <mergeCell ref="H372:I372"/>
    <mergeCell ref="F373:G373"/>
    <mergeCell ref="H373:I373"/>
    <mergeCell ref="F374:G374"/>
    <mergeCell ref="H374:I374"/>
    <mergeCell ref="C375:D375"/>
    <mergeCell ref="E375:F375"/>
    <mergeCell ref="G376:H376"/>
    <mergeCell ref="G366:H366"/>
    <mergeCell ref="G367:H367"/>
    <mergeCell ref="B369:M369"/>
    <mergeCell ref="B370:B371"/>
    <mergeCell ref="C370:D371"/>
    <mergeCell ref="E370:E371"/>
    <mergeCell ref="F370:G371"/>
    <mergeCell ref="H370:I371"/>
    <mergeCell ref="J370:J371"/>
    <mergeCell ref="K370:L370"/>
    <mergeCell ref="M370:M371"/>
    <mergeCell ref="F362:G362"/>
    <mergeCell ref="H362:I362"/>
    <mergeCell ref="F363:G363"/>
    <mergeCell ref="H363:I363"/>
    <mergeCell ref="C364:D364"/>
    <mergeCell ref="E364:F364"/>
    <mergeCell ref="G365:H365"/>
    <mergeCell ref="G356:H356"/>
    <mergeCell ref="G357:H357"/>
    <mergeCell ref="B359:M359"/>
    <mergeCell ref="B360:B361"/>
    <mergeCell ref="C360:D361"/>
    <mergeCell ref="E360:E361"/>
    <mergeCell ref="F360:G361"/>
    <mergeCell ref="H360:I361"/>
    <mergeCell ref="J360:J361"/>
    <mergeCell ref="K360:L360"/>
    <mergeCell ref="M360:M361"/>
    <mergeCell ref="F352:G352"/>
    <mergeCell ref="H352:I352"/>
    <mergeCell ref="F353:G353"/>
    <mergeCell ref="H353:I353"/>
    <mergeCell ref="C354:D354"/>
    <mergeCell ref="E354:F354"/>
    <mergeCell ref="G355:H355"/>
    <mergeCell ref="G346:H346"/>
    <mergeCell ref="G347:H347"/>
    <mergeCell ref="B349:M349"/>
    <mergeCell ref="B350:B351"/>
    <mergeCell ref="C350:D351"/>
    <mergeCell ref="E350:E351"/>
    <mergeCell ref="F350:G351"/>
    <mergeCell ref="H350:I351"/>
    <mergeCell ref="J350:J351"/>
    <mergeCell ref="K350:L350"/>
    <mergeCell ref="M350:M351"/>
    <mergeCell ref="F342:G342"/>
    <mergeCell ref="H342:I342"/>
    <mergeCell ref="F343:G343"/>
    <mergeCell ref="H343:I343"/>
    <mergeCell ref="C344:D344"/>
    <mergeCell ref="E344:F344"/>
    <mergeCell ref="G345:H345"/>
    <mergeCell ref="G325:H325"/>
    <mergeCell ref="G326:H326"/>
    <mergeCell ref="B339:M339"/>
    <mergeCell ref="B340:B341"/>
    <mergeCell ref="C340:D341"/>
    <mergeCell ref="E340:E341"/>
    <mergeCell ref="F340:G341"/>
    <mergeCell ref="H340:I341"/>
    <mergeCell ref="J340:J341"/>
    <mergeCell ref="K340:L340"/>
    <mergeCell ref="M340:M341"/>
    <mergeCell ref="B328:M328"/>
    <mergeCell ref="B329:B330"/>
    <mergeCell ref="C329:D330"/>
    <mergeCell ref="E329:E330"/>
    <mergeCell ref="F329:G330"/>
    <mergeCell ref="H329:I330"/>
    <mergeCell ref="C318:D319"/>
    <mergeCell ref="E318:E319"/>
    <mergeCell ref="F318:G319"/>
    <mergeCell ref="H318:I319"/>
    <mergeCell ref="J318:J319"/>
    <mergeCell ref="K318:L318"/>
    <mergeCell ref="M318:M319"/>
    <mergeCell ref="F309:G309"/>
    <mergeCell ref="H309:I309"/>
    <mergeCell ref="F310:G310"/>
    <mergeCell ref="H310:I310"/>
    <mergeCell ref="F311:G311"/>
    <mergeCell ref="H311:I311"/>
    <mergeCell ref="C312:D312"/>
    <mergeCell ref="E312:F312"/>
    <mergeCell ref="G313:H313"/>
    <mergeCell ref="G303:H303"/>
    <mergeCell ref="G304:H304"/>
    <mergeCell ref="B306:M306"/>
    <mergeCell ref="B307:B308"/>
    <mergeCell ref="C307:D308"/>
    <mergeCell ref="E307:E308"/>
    <mergeCell ref="F307:G308"/>
    <mergeCell ref="H307:I308"/>
    <mergeCell ref="J307:J308"/>
    <mergeCell ref="K307:L307"/>
    <mergeCell ref="M307:M308"/>
    <mergeCell ref="F298:G298"/>
    <mergeCell ref="H298:I298"/>
    <mergeCell ref="F299:G299"/>
    <mergeCell ref="H299:I299"/>
    <mergeCell ref="F300:G300"/>
    <mergeCell ref="H300:I300"/>
    <mergeCell ref="C301:D301"/>
    <mergeCell ref="E301:F301"/>
    <mergeCell ref="G302:H302"/>
    <mergeCell ref="G292:H292"/>
    <mergeCell ref="G293:H293"/>
    <mergeCell ref="B295:M295"/>
    <mergeCell ref="B296:B297"/>
    <mergeCell ref="C296:D297"/>
    <mergeCell ref="E296:E297"/>
    <mergeCell ref="F296:G297"/>
    <mergeCell ref="H296:I297"/>
    <mergeCell ref="J296:J297"/>
    <mergeCell ref="K296:L296"/>
    <mergeCell ref="M296:M297"/>
    <mergeCell ref="F288:G288"/>
    <mergeCell ref="H288:I288"/>
    <mergeCell ref="F289:G289"/>
    <mergeCell ref="H289:I289"/>
    <mergeCell ref="C290:D290"/>
    <mergeCell ref="E290:F290"/>
    <mergeCell ref="G291:H291"/>
    <mergeCell ref="G282:H282"/>
    <mergeCell ref="G283:H283"/>
    <mergeCell ref="B285:M285"/>
    <mergeCell ref="B286:B287"/>
    <mergeCell ref="C286:D287"/>
    <mergeCell ref="E286:E287"/>
    <mergeCell ref="F286:G287"/>
    <mergeCell ref="H286:I287"/>
    <mergeCell ref="J286:J287"/>
    <mergeCell ref="K286:L286"/>
    <mergeCell ref="M286:M287"/>
    <mergeCell ref="G281:H281"/>
    <mergeCell ref="G272:H272"/>
    <mergeCell ref="G273:H273"/>
    <mergeCell ref="B275:M275"/>
    <mergeCell ref="B276:B277"/>
    <mergeCell ref="C276:D277"/>
    <mergeCell ref="E276:E277"/>
    <mergeCell ref="F276:G277"/>
    <mergeCell ref="H276:I277"/>
    <mergeCell ref="J276:J277"/>
    <mergeCell ref="K276:L276"/>
    <mergeCell ref="M276:M277"/>
    <mergeCell ref="C270:D270"/>
    <mergeCell ref="E270:F270"/>
    <mergeCell ref="G271:H271"/>
    <mergeCell ref="F278:G278"/>
    <mergeCell ref="H278:I278"/>
    <mergeCell ref="F279:G279"/>
    <mergeCell ref="H279:I279"/>
    <mergeCell ref="C280:D280"/>
    <mergeCell ref="E280:F280"/>
    <mergeCell ref="C164:D164"/>
    <mergeCell ref="E164:F164"/>
    <mergeCell ref="G165:H165"/>
    <mergeCell ref="G167:H167"/>
    <mergeCell ref="G168:H168"/>
    <mergeCell ref="G169:H169"/>
    <mergeCell ref="C476:F476"/>
    <mergeCell ref="B264:M264"/>
    <mergeCell ref="B265:B266"/>
    <mergeCell ref="C265:D266"/>
    <mergeCell ref="E265:E266"/>
    <mergeCell ref="F265:G266"/>
    <mergeCell ref="H265:I266"/>
    <mergeCell ref="J265:J266"/>
    <mergeCell ref="K265:L265"/>
    <mergeCell ref="M265:M266"/>
    <mergeCell ref="F267:G267"/>
    <mergeCell ref="H267:I267"/>
    <mergeCell ref="F268:G268"/>
    <mergeCell ref="H268:I268"/>
    <mergeCell ref="F269:G269"/>
    <mergeCell ref="H269:I269"/>
    <mergeCell ref="G177:H177"/>
    <mergeCell ref="G178:H178"/>
    <mergeCell ref="F151:G151"/>
    <mergeCell ref="H151:I151"/>
    <mergeCell ref="F152:G152"/>
    <mergeCell ref="H152:I152"/>
    <mergeCell ref="F158:G158"/>
    <mergeCell ref="H158:I158"/>
    <mergeCell ref="F159:G159"/>
    <mergeCell ref="H159:I159"/>
    <mergeCell ref="F160:G160"/>
    <mergeCell ref="H160:I160"/>
    <mergeCell ref="G143:H143"/>
    <mergeCell ref="G144:H144"/>
    <mergeCell ref="G145:H145"/>
    <mergeCell ref="G146:H146"/>
    <mergeCell ref="B148:M148"/>
    <mergeCell ref="B149:B150"/>
    <mergeCell ref="C149:D150"/>
    <mergeCell ref="E149:E150"/>
    <mergeCell ref="F149:G150"/>
    <mergeCell ref="H149:I150"/>
    <mergeCell ref="J149:J150"/>
    <mergeCell ref="K149:L149"/>
    <mergeCell ref="M149:M150"/>
    <mergeCell ref="F138:G138"/>
    <mergeCell ref="H138:I138"/>
    <mergeCell ref="F139:G139"/>
    <mergeCell ref="H139:I139"/>
    <mergeCell ref="F140:G140"/>
    <mergeCell ref="H140:I140"/>
    <mergeCell ref="F141:G141"/>
    <mergeCell ref="H141:I141"/>
    <mergeCell ref="C142:D142"/>
    <mergeCell ref="E142:F142"/>
    <mergeCell ref="F133:G133"/>
    <mergeCell ref="H133:I133"/>
    <mergeCell ref="F134:G134"/>
    <mergeCell ref="H134:I134"/>
    <mergeCell ref="F135:G135"/>
    <mergeCell ref="H135:I135"/>
    <mergeCell ref="F136:G136"/>
    <mergeCell ref="H136:I136"/>
    <mergeCell ref="F137:G137"/>
    <mergeCell ref="H137:I137"/>
    <mergeCell ref="B130:M130"/>
    <mergeCell ref="B131:B132"/>
    <mergeCell ref="C131:D132"/>
    <mergeCell ref="E131:E132"/>
    <mergeCell ref="F131:G132"/>
    <mergeCell ref="H131:I132"/>
    <mergeCell ref="J131:J132"/>
    <mergeCell ref="K131:L131"/>
    <mergeCell ref="M131:M132"/>
    <mergeCell ref="G179:H179"/>
    <mergeCell ref="F174:G174"/>
    <mergeCell ref="H174:I174"/>
    <mergeCell ref="F175:G175"/>
    <mergeCell ref="H175:I175"/>
    <mergeCell ref="C176:D176"/>
    <mergeCell ref="E176:F176"/>
    <mergeCell ref="B171:M171"/>
    <mergeCell ref="B172:B173"/>
    <mergeCell ref="C172:D173"/>
    <mergeCell ref="E172:E173"/>
    <mergeCell ref="F172:G173"/>
    <mergeCell ref="H172:I173"/>
    <mergeCell ref="J172:J173"/>
    <mergeCell ref="K172:L172"/>
    <mergeCell ref="M172:M173"/>
    <mergeCell ref="G77:H77"/>
    <mergeCell ref="G78:H78"/>
    <mergeCell ref="B15:M15"/>
    <mergeCell ref="B16:B17"/>
    <mergeCell ref="C16:D17"/>
    <mergeCell ref="E16:E17"/>
    <mergeCell ref="F16:G17"/>
    <mergeCell ref="H16:I17"/>
    <mergeCell ref="J16:J17"/>
    <mergeCell ref="K16:L16"/>
    <mergeCell ref="F74:G74"/>
    <mergeCell ref="H74:I74"/>
    <mergeCell ref="C75:D75"/>
    <mergeCell ref="E75:F75"/>
    <mergeCell ref="G76:H76"/>
    <mergeCell ref="J71:J72"/>
    <mergeCell ref="K71:L71"/>
    <mergeCell ref="M71:M72"/>
    <mergeCell ref="F73:G73"/>
    <mergeCell ref="H73:I73"/>
    <mergeCell ref="C64:D64"/>
    <mergeCell ref="E64:F64"/>
    <mergeCell ref="G65:H65"/>
    <mergeCell ref="G66:H66"/>
    <mergeCell ref="G67:H67"/>
    <mergeCell ref="B70:M70"/>
    <mergeCell ref="B71:B72"/>
    <mergeCell ref="C71:D72"/>
    <mergeCell ref="E71:E72"/>
    <mergeCell ref="G68:H68"/>
    <mergeCell ref="F71:G72"/>
    <mergeCell ref="H71:I72"/>
    <mergeCell ref="F61:G61"/>
    <mergeCell ref="H61:I61"/>
    <mergeCell ref="F62:G62"/>
    <mergeCell ref="H62:I62"/>
    <mergeCell ref="F63:G63"/>
    <mergeCell ref="H63:I63"/>
    <mergeCell ref="B58:M58"/>
    <mergeCell ref="B59:B60"/>
    <mergeCell ref="C59:D60"/>
    <mergeCell ref="E59:E60"/>
    <mergeCell ref="F59:G60"/>
    <mergeCell ref="H59:I60"/>
    <mergeCell ref="J59:J60"/>
    <mergeCell ref="K59:L59"/>
    <mergeCell ref="M59:M60"/>
    <mergeCell ref="F19:G19"/>
    <mergeCell ref="H19:I19"/>
    <mergeCell ref="C52:D52"/>
    <mergeCell ref="E52:F52"/>
    <mergeCell ref="G53:H53"/>
    <mergeCell ref="G54:H54"/>
    <mergeCell ref="G55:H55"/>
    <mergeCell ref="G56:H56"/>
    <mergeCell ref="F49:G49"/>
    <mergeCell ref="H49:I49"/>
    <mergeCell ref="F50:G50"/>
    <mergeCell ref="H50:I50"/>
    <mergeCell ref="F51:G51"/>
    <mergeCell ref="H51:I51"/>
    <mergeCell ref="G31:H31"/>
    <mergeCell ref="B25:M25"/>
    <mergeCell ref="B26:B27"/>
    <mergeCell ref="C26:D27"/>
    <mergeCell ref="E26:E27"/>
    <mergeCell ref="F26:G27"/>
    <mergeCell ref="H26:I27"/>
    <mergeCell ref="J26:J27"/>
    <mergeCell ref="K26:L26"/>
    <mergeCell ref="M26:M27"/>
    <mergeCell ref="F9:G9"/>
    <mergeCell ref="H9:I9"/>
    <mergeCell ref="C10:D10"/>
    <mergeCell ref="E10:F10"/>
    <mergeCell ref="G11:H11"/>
    <mergeCell ref="G12:H12"/>
    <mergeCell ref="G13:H13"/>
    <mergeCell ref="B46:M46"/>
    <mergeCell ref="B47:B48"/>
    <mergeCell ref="C47:D48"/>
    <mergeCell ref="E47:E48"/>
    <mergeCell ref="F47:G48"/>
    <mergeCell ref="H47:I48"/>
    <mergeCell ref="J47:J48"/>
    <mergeCell ref="K47:L47"/>
    <mergeCell ref="M47:M48"/>
    <mergeCell ref="C20:D20"/>
    <mergeCell ref="E20:F20"/>
    <mergeCell ref="G21:H21"/>
    <mergeCell ref="G22:H22"/>
    <mergeCell ref="G23:H23"/>
    <mergeCell ref="M16:M17"/>
    <mergeCell ref="F18:G18"/>
    <mergeCell ref="H18:I18"/>
    <mergeCell ref="F7:G7"/>
    <mergeCell ref="H7:I7"/>
    <mergeCell ref="F8:G8"/>
    <mergeCell ref="H8:I8"/>
    <mergeCell ref="F4:G4"/>
    <mergeCell ref="H4:I4"/>
    <mergeCell ref="F5:G5"/>
    <mergeCell ref="H5:I5"/>
    <mergeCell ref="F6:G6"/>
    <mergeCell ref="H6:I6"/>
    <mergeCell ref="B1:M1"/>
    <mergeCell ref="B2:B3"/>
    <mergeCell ref="C2:D3"/>
    <mergeCell ref="E2:E3"/>
    <mergeCell ref="F2:G3"/>
    <mergeCell ref="H2:I3"/>
    <mergeCell ref="J2:J3"/>
    <mergeCell ref="K2:L2"/>
    <mergeCell ref="M2:M3"/>
    <mergeCell ref="G189:H189"/>
    <mergeCell ref="B181:M181"/>
    <mergeCell ref="B182:B183"/>
    <mergeCell ref="C182:D183"/>
    <mergeCell ref="E182:E183"/>
    <mergeCell ref="F182:G183"/>
    <mergeCell ref="H182:I183"/>
    <mergeCell ref="J182:J183"/>
    <mergeCell ref="K182:L182"/>
    <mergeCell ref="M182:M183"/>
    <mergeCell ref="F184:G184"/>
    <mergeCell ref="H184:I184"/>
    <mergeCell ref="F185:G185"/>
    <mergeCell ref="H185:I185"/>
    <mergeCell ref="C186:D186"/>
    <mergeCell ref="E186:F186"/>
    <mergeCell ref="G187:H187"/>
    <mergeCell ref="G188:H188"/>
    <mergeCell ref="B191:M191"/>
    <mergeCell ref="B192:B193"/>
    <mergeCell ref="C192:D193"/>
    <mergeCell ref="E192:E193"/>
    <mergeCell ref="F192:G193"/>
    <mergeCell ref="H192:I193"/>
    <mergeCell ref="J192:J193"/>
    <mergeCell ref="K192:L192"/>
    <mergeCell ref="M192:M193"/>
    <mergeCell ref="F194:G194"/>
    <mergeCell ref="H194:I194"/>
    <mergeCell ref="F195:G195"/>
    <mergeCell ref="H195:I195"/>
    <mergeCell ref="C196:D196"/>
    <mergeCell ref="E196:F196"/>
    <mergeCell ref="G197:H197"/>
    <mergeCell ref="G198:H198"/>
    <mergeCell ref="G199:H199"/>
    <mergeCell ref="B201:M201"/>
    <mergeCell ref="B202:B203"/>
    <mergeCell ref="C202:D203"/>
    <mergeCell ref="E202:E203"/>
    <mergeCell ref="F202:G203"/>
    <mergeCell ref="H202:I203"/>
    <mergeCell ref="J202:J203"/>
    <mergeCell ref="K202:L202"/>
    <mergeCell ref="M202:M203"/>
    <mergeCell ref="F204:G204"/>
    <mergeCell ref="H204:I204"/>
    <mergeCell ref="F205:G205"/>
    <mergeCell ref="H205:I205"/>
    <mergeCell ref="C206:D206"/>
    <mergeCell ref="E206:F206"/>
    <mergeCell ref="G207:H207"/>
    <mergeCell ref="G208:H208"/>
    <mergeCell ref="G209:H209"/>
    <mergeCell ref="B211:M211"/>
    <mergeCell ref="B212:B213"/>
    <mergeCell ref="C212:D213"/>
    <mergeCell ref="E212:E213"/>
    <mergeCell ref="F212:G213"/>
    <mergeCell ref="H212:I213"/>
    <mergeCell ref="J212:J213"/>
    <mergeCell ref="K212:L212"/>
    <mergeCell ref="M212:M213"/>
    <mergeCell ref="F214:G214"/>
    <mergeCell ref="H214:I214"/>
    <mergeCell ref="F215:G215"/>
    <mergeCell ref="H215:I215"/>
    <mergeCell ref="C216:D216"/>
    <mergeCell ref="E216:F216"/>
    <mergeCell ref="G217:H217"/>
    <mergeCell ref="G218:H218"/>
    <mergeCell ref="G219:H219"/>
    <mergeCell ref="B221:M221"/>
    <mergeCell ref="B222:B223"/>
    <mergeCell ref="C222:D223"/>
    <mergeCell ref="E222:E223"/>
    <mergeCell ref="F222:G223"/>
    <mergeCell ref="H222:I223"/>
    <mergeCell ref="J222:J223"/>
    <mergeCell ref="K222:L222"/>
    <mergeCell ref="M222:M223"/>
    <mergeCell ref="F224:G224"/>
    <mergeCell ref="H224:I224"/>
    <mergeCell ref="F225:G225"/>
    <mergeCell ref="H225:I225"/>
    <mergeCell ref="C226:D226"/>
    <mergeCell ref="E226:F226"/>
    <mergeCell ref="G227:H227"/>
    <mergeCell ref="G228:H228"/>
    <mergeCell ref="G229:H229"/>
    <mergeCell ref="B231:M231"/>
    <mergeCell ref="B232:B233"/>
    <mergeCell ref="C232:D233"/>
    <mergeCell ref="E232:E233"/>
    <mergeCell ref="F232:G233"/>
    <mergeCell ref="H232:I233"/>
    <mergeCell ref="J232:J233"/>
    <mergeCell ref="K232:L232"/>
    <mergeCell ref="M232:M233"/>
    <mergeCell ref="F234:G234"/>
    <mergeCell ref="H234:I234"/>
    <mergeCell ref="F236:G236"/>
    <mergeCell ref="H236:I236"/>
    <mergeCell ref="C237:D237"/>
    <mergeCell ref="E237:F237"/>
    <mergeCell ref="G238:H238"/>
    <mergeCell ref="G239:H239"/>
    <mergeCell ref="G240:H240"/>
    <mergeCell ref="F235:G235"/>
    <mergeCell ref="H235:I235"/>
    <mergeCell ref="B242:M242"/>
    <mergeCell ref="B243:B244"/>
    <mergeCell ref="C243:D244"/>
    <mergeCell ref="E243:E244"/>
    <mergeCell ref="F243:G244"/>
    <mergeCell ref="H243:I244"/>
    <mergeCell ref="J243:J244"/>
    <mergeCell ref="K243:L243"/>
    <mergeCell ref="M243:M244"/>
    <mergeCell ref="F245:G245"/>
    <mergeCell ref="H245:I245"/>
    <mergeCell ref="F247:G247"/>
    <mergeCell ref="H247:I247"/>
    <mergeCell ref="C248:D248"/>
    <mergeCell ref="E248:F248"/>
    <mergeCell ref="G249:H249"/>
    <mergeCell ref="G250:H250"/>
    <mergeCell ref="G251:H251"/>
    <mergeCell ref="F246:G246"/>
    <mergeCell ref="H246:I246"/>
    <mergeCell ref="B253:M253"/>
    <mergeCell ref="B254:B255"/>
    <mergeCell ref="C254:D255"/>
    <mergeCell ref="E254:E255"/>
    <mergeCell ref="F254:G255"/>
    <mergeCell ref="H254:I255"/>
    <mergeCell ref="J254:J255"/>
    <mergeCell ref="K254:L254"/>
    <mergeCell ref="M254:M255"/>
    <mergeCell ref="F256:G256"/>
    <mergeCell ref="H256:I256"/>
    <mergeCell ref="F258:G258"/>
    <mergeCell ref="H258:I258"/>
    <mergeCell ref="C259:D259"/>
    <mergeCell ref="E259:F259"/>
    <mergeCell ref="G260:H260"/>
    <mergeCell ref="G261:H261"/>
    <mergeCell ref="G262:H262"/>
    <mergeCell ref="F257:G257"/>
    <mergeCell ref="H257:I257"/>
    <mergeCell ref="B442:M442"/>
    <mergeCell ref="B443:B444"/>
    <mergeCell ref="C443:D444"/>
    <mergeCell ref="E443:E444"/>
    <mergeCell ref="F443:G444"/>
    <mergeCell ref="H443:I444"/>
    <mergeCell ref="J443:J444"/>
    <mergeCell ref="K443:L443"/>
    <mergeCell ref="M443:M444"/>
    <mergeCell ref="F445:G445"/>
    <mergeCell ref="H445:I445"/>
    <mergeCell ref="F446:G446"/>
    <mergeCell ref="H446:I446"/>
    <mergeCell ref="C447:D447"/>
    <mergeCell ref="E447:F447"/>
    <mergeCell ref="G448:H448"/>
    <mergeCell ref="G449:H449"/>
    <mergeCell ref="G450:H450"/>
    <mergeCell ref="B91:M91"/>
    <mergeCell ref="B92:B93"/>
    <mergeCell ref="C92:D93"/>
    <mergeCell ref="E92:E93"/>
    <mergeCell ref="F92:G93"/>
    <mergeCell ref="H92:I93"/>
    <mergeCell ref="J92:J93"/>
    <mergeCell ref="K92:L92"/>
    <mergeCell ref="M92:M93"/>
    <mergeCell ref="F94:G94"/>
    <mergeCell ref="H94:I94"/>
    <mergeCell ref="F103:G103"/>
    <mergeCell ref="H103:I103"/>
    <mergeCell ref="C104:D104"/>
    <mergeCell ref="E104:F104"/>
    <mergeCell ref="G105:H105"/>
    <mergeCell ref="G108:H108"/>
    <mergeCell ref="F95:G95"/>
    <mergeCell ref="H95:I95"/>
    <mergeCell ref="F96:G96"/>
    <mergeCell ref="H96:I96"/>
    <mergeCell ref="F98:G98"/>
    <mergeCell ref="H98:I98"/>
    <mergeCell ref="F97:G97"/>
    <mergeCell ref="H97:I97"/>
    <mergeCell ref="F99:G99"/>
    <mergeCell ref="H99:I99"/>
    <mergeCell ref="F100:G100"/>
    <mergeCell ref="H100:I100"/>
    <mergeCell ref="F101:G101"/>
    <mergeCell ref="H101:I101"/>
    <mergeCell ref="F102:G102"/>
    <mergeCell ref="H102:I102"/>
    <mergeCell ref="F125:G125"/>
    <mergeCell ref="H125:I125"/>
    <mergeCell ref="C126:D126"/>
    <mergeCell ref="E126:F126"/>
    <mergeCell ref="G127:H127"/>
    <mergeCell ref="G128:H128"/>
    <mergeCell ref="B122:M122"/>
    <mergeCell ref="B123:B124"/>
    <mergeCell ref="C123:D124"/>
    <mergeCell ref="E123:E124"/>
    <mergeCell ref="F123:G124"/>
    <mergeCell ref="H123:I124"/>
    <mergeCell ref="J123:J124"/>
    <mergeCell ref="K123:L123"/>
    <mergeCell ref="M123:M124"/>
    <mergeCell ref="B110:M110"/>
    <mergeCell ref="B111:B112"/>
    <mergeCell ref="C111:D112"/>
    <mergeCell ref="E111:E112"/>
    <mergeCell ref="F111:G112"/>
    <mergeCell ref="H111:I112"/>
    <mergeCell ref="J111:J112"/>
    <mergeCell ref="K111:L111"/>
    <mergeCell ref="M111:M112"/>
    <mergeCell ref="C117:D117"/>
    <mergeCell ref="E117:F117"/>
    <mergeCell ref="G118:H118"/>
    <mergeCell ref="G119:H119"/>
    <mergeCell ref="F113:G113"/>
    <mergeCell ref="H113:I113"/>
    <mergeCell ref="F114:G114"/>
    <mergeCell ref="H114:I114"/>
    <mergeCell ref="F115:G115"/>
    <mergeCell ref="H115:I115"/>
    <mergeCell ref="F116:G116"/>
    <mergeCell ref="H116:I116"/>
  </mergeCells>
  <printOptions horizontalCentered="1"/>
  <pageMargins left="1.1811023622047245" right="0.39370078740157483" top="0.39370078740157483" bottom="0.39370078740157483" header="0.51181102362204722" footer="0.51181102362204722"/>
  <pageSetup paperSize="9" firstPageNumber="0" fitToHeight="0" orientation="portrait" r:id="rId1"/>
  <headerFooter alignWithMargins="0">
    <oddFooter>Strona &amp;P z &amp;N</oddFooter>
  </headerFooter>
  <rowBreaks count="6" manualBreakCount="6">
    <brk id="69" max="16383" man="1"/>
    <brk id="129" max="16383" man="1"/>
    <brk id="200" max="12" man="1"/>
    <brk id="274" max="12" man="1"/>
    <brk id="348" max="12" man="1"/>
    <brk id="42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25"/>
  <sheetViews>
    <sheetView view="pageBreakPreview" zoomScale="145" zoomScaleSheetLayoutView="145" workbookViewId="0">
      <selection activeCell="B1" sqref="B1:N23"/>
    </sheetView>
  </sheetViews>
  <sheetFormatPr defaultColWidth="14.5" defaultRowHeight="11.25"/>
  <cols>
    <col min="1" max="1" width="0.6640625" style="5" customWidth="1"/>
    <col min="2" max="2" width="4.1640625" style="5" customWidth="1"/>
    <col min="3" max="3" width="4.5" style="8" bestFit="1" customWidth="1"/>
    <col min="4" max="4" width="3.6640625" style="8" bestFit="1" customWidth="1"/>
    <col min="5" max="5" width="10" style="9" customWidth="1"/>
    <col min="6" max="6" width="9.6640625" style="10" bestFit="1" customWidth="1"/>
    <col min="7" max="7" width="4.1640625" style="10" bestFit="1" customWidth="1"/>
    <col min="8" max="8" width="6.5" style="4" bestFit="1" customWidth="1"/>
    <col min="9" max="9" width="2.1640625" style="4" bestFit="1" customWidth="1"/>
    <col min="10" max="10" width="4.6640625" style="4" bestFit="1" customWidth="1"/>
    <col min="11" max="11" width="8.5" style="4" bestFit="1" customWidth="1"/>
    <col min="12" max="12" width="6.6640625" style="11" bestFit="1" customWidth="1"/>
    <col min="13" max="13" width="7" style="11" bestFit="1" customWidth="1"/>
    <col min="14" max="14" width="9.5" style="4" customWidth="1"/>
    <col min="15" max="15" width="5.6640625" style="4" customWidth="1"/>
    <col min="16" max="16" width="13.83203125" style="4" customWidth="1"/>
    <col min="17" max="17" width="5.83203125" style="4" bestFit="1" customWidth="1"/>
    <col min="18" max="18" width="5.1640625" style="4" bestFit="1" customWidth="1"/>
    <col min="19" max="19" width="4.1640625" style="4" bestFit="1" customWidth="1"/>
    <col min="20" max="243" width="13.83203125" style="4" customWidth="1"/>
    <col min="244" max="244" width="14.5" style="4"/>
    <col min="245" max="16384" width="14.5" style="5"/>
  </cols>
  <sheetData>
    <row r="1" spans="2:244">
      <c r="C1" s="184" t="s">
        <v>265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</row>
    <row r="2" spans="2:244">
      <c r="C2" s="185" t="s">
        <v>0</v>
      </c>
      <c r="D2" s="186" t="s">
        <v>1</v>
      </c>
      <c r="E2" s="186"/>
      <c r="F2" s="187" t="s">
        <v>2</v>
      </c>
      <c r="G2" s="187" t="s">
        <v>3</v>
      </c>
      <c r="H2" s="187"/>
      <c r="I2" s="188" t="s">
        <v>4</v>
      </c>
      <c r="J2" s="188"/>
      <c r="K2" s="189" t="s">
        <v>5</v>
      </c>
      <c r="L2" s="191" t="s">
        <v>123</v>
      </c>
      <c r="M2" s="191"/>
      <c r="N2" s="192" t="s">
        <v>14</v>
      </c>
    </row>
    <row r="3" spans="2:244">
      <c r="C3" s="185"/>
      <c r="D3" s="186"/>
      <c r="E3" s="186"/>
      <c r="F3" s="187"/>
      <c r="G3" s="187"/>
      <c r="H3" s="187"/>
      <c r="I3" s="188"/>
      <c r="J3" s="188"/>
      <c r="K3" s="190"/>
      <c r="L3" s="21" t="s">
        <v>6</v>
      </c>
      <c r="M3" s="22" t="s">
        <v>7</v>
      </c>
      <c r="N3" s="192"/>
    </row>
    <row r="4" spans="2:244">
      <c r="B4" s="172" t="s">
        <v>264</v>
      </c>
      <c r="C4" s="51" t="s">
        <v>19</v>
      </c>
      <c r="D4" s="25" t="s">
        <v>17</v>
      </c>
      <c r="E4" s="12">
        <v>120</v>
      </c>
      <c r="F4" s="56">
        <v>10.4</v>
      </c>
      <c r="G4" s="182">
        <v>4506</v>
      </c>
      <c r="H4" s="183"/>
      <c r="I4" s="173">
        <f>1*3</f>
        <v>3</v>
      </c>
      <c r="J4" s="174"/>
      <c r="K4" s="29" t="s">
        <v>84</v>
      </c>
      <c r="L4" s="14">
        <f>IF(I4&lt;&gt;"",(F4*G4*0.001),"")</f>
        <v>46.862400000000001</v>
      </c>
      <c r="M4" s="80">
        <f t="shared" ref="M4:M5" si="0">IF(I4&lt;&gt;"",I4*L4,"")</f>
        <v>140.5872</v>
      </c>
      <c r="N4" s="193" t="s">
        <v>35</v>
      </c>
    </row>
    <row r="5" spans="2:244">
      <c r="B5" s="206"/>
      <c r="C5" s="79" t="s">
        <v>11</v>
      </c>
      <c r="D5" s="27" t="s">
        <v>63</v>
      </c>
      <c r="E5" s="240" t="s">
        <v>267</v>
      </c>
      <c r="F5" s="52">
        <f>7850*0.15*0.01</f>
        <v>11.775</v>
      </c>
      <c r="G5" s="157">
        <v>164</v>
      </c>
      <c r="H5" s="175"/>
      <c r="I5" s="159">
        <f>3*3</f>
        <v>9</v>
      </c>
      <c r="J5" s="160"/>
      <c r="K5" s="30" t="s">
        <v>84</v>
      </c>
      <c r="L5" s="23">
        <f t="shared" ref="L5" si="1">IF(I5&lt;&gt;"",(F5*G5*0.001),"")</f>
        <v>1.9311000000000003</v>
      </c>
      <c r="M5" s="81">
        <f t="shared" si="0"/>
        <v>17.379900000000003</v>
      </c>
      <c r="N5" s="167"/>
    </row>
    <row r="6" spans="2:244">
      <c r="B6" s="172" t="s">
        <v>266</v>
      </c>
      <c r="C6" s="51" t="s">
        <v>19</v>
      </c>
      <c r="D6" s="25" t="s">
        <v>17</v>
      </c>
      <c r="E6" s="12">
        <v>120</v>
      </c>
      <c r="F6" s="56">
        <v>10.4</v>
      </c>
      <c r="G6" s="182">
        <v>4506</v>
      </c>
      <c r="H6" s="183"/>
      <c r="I6" s="173">
        <f>1*4</f>
        <v>4</v>
      </c>
      <c r="J6" s="174"/>
      <c r="K6" s="29" t="s">
        <v>84</v>
      </c>
      <c r="L6" s="14">
        <f>IF(I6&lt;&gt;"",(F6*G6*0.001),"")</f>
        <v>46.862400000000001</v>
      </c>
      <c r="M6" s="80">
        <f t="shared" ref="M6:M7" si="2">IF(I6&lt;&gt;"",I6*L6,"")</f>
        <v>187.4496</v>
      </c>
      <c r="N6" s="193" t="s">
        <v>35</v>
      </c>
    </row>
    <row r="7" spans="2:244">
      <c r="B7" s="241"/>
      <c r="C7" s="79" t="s">
        <v>11</v>
      </c>
      <c r="D7" s="27" t="s">
        <v>63</v>
      </c>
      <c r="E7" s="59" t="s">
        <v>267</v>
      </c>
      <c r="F7" s="60">
        <f>7850*0.15*0.01</f>
        <v>11.775</v>
      </c>
      <c r="G7" s="176">
        <v>164</v>
      </c>
      <c r="H7" s="177"/>
      <c r="I7" s="180">
        <f>3*4</f>
        <v>12</v>
      </c>
      <c r="J7" s="181"/>
      <c r="K7" s="30" t="s">
        <v>84</v>
      </c>
      <c r="L7" s="242">
        <f t="shared" ref="L7" si="3">IF(I7&lt;&gt;"",(F7*G7*0.001),"")</f>
        <v>1.9311000000000003</v>
      </c>
      <c r="M7" s="83">
        <f t="shared" si="2"/>
        <v>23.173200000000001</v>
      </c>
      <c r="N7" s="168"/>
    </row>
    <row r="8" spans="2:244">
      <c r="B8" s="172" t="s">
        <v>269</v>
      </c>
      <c r="C8" s="51" t="s">
        <v>12</v>
      </c>
      <c r="D8" s="25" t="s">
        <v>263</v>
      </c>
      <c r="E8" s="12">
        <v>100</v>
      </c>
      <c r="F8" s="56">
        <v>20.399999999999999</v>
      </c>
      <c r="G8" s="182">
        <v>3630</v>
      </c>
      <c r="H8" s="183"/>
      <c r="I8" s="173">
        <f>1*2</f>
        <v>2</v>
      </c>
      <c r="J8" s="174"/>
      <c r="K8" s="29" t="s">
        <v>84</v>
      </c>
      <c r="L8" s="14">
        <f>IF(I8&lt;&gt;"",(F8*G8*0.001),"")</f>
        <v>74.052000000000007</v>
      </c>
      <c r="M8" s="80">
        <f t="shared" ref="M8:M9" si="4">IF(I8&lt;&gt;"",I8*L8,"")</f>
        <v>148.10400000000001</v>
      </c>
      <c r="N8" s="166" t="s">
        <v>270</v>
      </c>
    </row>
    <row r="9" spans="2:244">
      <c r="B9" s="206"/>
      <c r="C9" s="111" t="s">
        <v>26</v>
      </c>
      <c r="D9" s="25" t="s">
        <v>63</v>
      </c>
      <c r="E9" s="42" t="s">
        <v>271</v>
      </c>
      <c r="F9" s="243">
        <f>7850*0.18*0.01</f>
        <v>14.13</v>
      </c>
      <c r="G9" s="157">
        <v>180</v>
      </c>
      <c r="H9" s="175"/>
      <c r="I9" s="159">
        <f>1*2</f>
        <v>2</v>
      </c>
      <c r="J9" s="160"/>
      <c r="K9" s="29" t="s">
        <v>84</v>
      </c>
      <c r="L9" s="244">
        <f t="shared" ref="L9" si="5">IF(I9&lt;&gt;"",(F9*G9*0.001),"")</f>
        <v>2.5434000000000001</v>
      </c>
      <c r="M9" s="81">
        <f t="shared" si="4"/>
        <v>5.0868000000000002</v>
      </c>
      <c r="N9" s="167"/>
    </row>
    <row r="10" spans="2:244">
      <c r="B10" s="206"/>
      <c r="C10" s="51" t="s">
        <v>50</v>
      </c>
      <c r="D10" s="25" t="s">
        <v>63</v>
      </c>
      <c r="E10" s="42" t="s">
        <v>272</v>
      </c>
      <c r="F10" s="243">
        <f>7850*0.1*0.01</f>
        <v>7.8500000000000005</v>
      </c>
      <c r="G10" s="157">
        <v>200</v>
      </c>
      <c r="H10" s="175"/>
      <c r="I10" s="159">
        <f>1*2</f>
        <v>2</v>
      </c>
      <c r="J10" s="160"/>
      <c r="K10" s="29" t="s">
        <v>84</v>
      </c>
      <c r="L10" s="244">
        <f t="shared" ref="L10" si="6">IF(I10&lt;&gt;"",(F10*G10*0.001),"")</f>
        <v>1.57</v>
      </c>
      <c r="M10" s="81">
        <f t="shared" ref="M10" si="7">IF(I10&lt;&gt;"",I10*L10,"")</f>
        <v>3.14</v>
      </c>
      <c r="N10" s="167"/>
    </row>
    <row r="11" spans="2:244">
      <c r="B11" s="241"/>
      <c r="C11" s="58" t="s">
        <v>51</v>
      </c>
      <c r="D11" s="27" t="s">
        <v>63</v>
      </c>
      <c r="E11" s="59" t="s">
        <v>272</v>
      </c>
      <c r="F11" s="245">
        <f>7850*0.1*0.01</f>
        <v>7.8500000000000005</v>
      </c>
      <c r="G11" s="176">
        <v>100</v>
      </c>
      <c r="H11" s="177"/>
      <c r="I11" s="180">
        <f>1*2</f>
        <v>2</v>
      </c>
      <c r="J11" s="181"/>
      <c r="K11" s="30" t="s">
        <v>84</v>
      </c>
      <c r="L11" s="242">
        <f t="shared" ref="L11" si="8">IF(I11&lt;&gt;"",(F11*G11*0.001),"")</f>
        <v>0.78500000000000003</v>
      </c>
      <c r="M11" s="83">
        <f t="shared" ref="M11" si="9">IF(I11&lt;&gt;"",I11*L11,"")</f>
        <v>1.57</v>
      </c>
      <c r="N11" s="168"/>
    </row>
    <row r="12" spans="2:244">
      <c r="B12" s="139" t="s">
        <v>268</v>
      </c>
      <c r="C12" s="70" t="s">
        <v>70</v>
      </c>
      <c r="D12" s="71" t="s">
        <v>263</v>
      </c>
      <c r="E12" s="246">
        <v>100</v>
      </c>
      <c r="F12" s="73">
        <v>20.399999999999999</v>
      </c>
      <c r="G12" s="247">
        <v>3900</v>
      </c>
      <c r="H12" s="248"/>
      <c r="I12" s="209">
        <f>1*1</f>
        <v>1</v>
      </c>
      <c r="J12" s="210"/>
      <c r="K12" s="74" t="s">
        <v>84</v>
      </c>
      <c r="L12" s="75">
        <f>IF(I12&lt;&gt;"",(F12*G12*0.001),"")</f>
        <v>79.56</v>
      </c>
      <c r="M12" s="84">
        <f t="shared" ref="M12:M14" si="10">IF(I12&lt;&gt;"",I12*L12,"")</f>
        <v>79.56</v>
      </c>
      <c r="N12" s="249" t="s">
        <v>35</v>
      </c>
    </row>
    <row r="13" spans="2:244">
      <c r="B13" s="172" t="s">
        <v>273</v>
      </c>
      <c r="C13" s="51" t="s">
        <v>125</v>
      </c>
      <c r="D13" s="54" t="s">
        <v>263</v>
      </c>
      <c r="E13" s="69">
        <v>100</v>
      </c>
      <c r="F13" s="56">
        <v>20.399999999999999</v>
      </c>
      <c r="G13" s="182">
        <v>3100</v>
      </c>
      <c r="H13" s="183"/>
      <c r="I13" s="173">
        <f>1*3</f>
        <v>3</v>
      </c>
      <c r="J13" s="174"/>
      <c r="K13" s="29" t="s">
        <v>84</v>
      </c>
      <c r="L13" s="14">
        <f>IF(I13&lt;&gt;"",(F13*G13*0.001),"")</f>
        <v>63.239999999999995</v>
      </c>
      <c r="M13" s="80">
        <f t="shared" si="10"/>
        <v>189.71999999999997</v>
      </c>
      <c r="N13" s="193" t="s">
        <v>35</v>
      </c>
    </row>
    <row r="14" spans="2:244">
      <c r="B14" s="241"/>
      <c r="C14" s="79" t="s">
        <v>192</v>
      </c>
      <c r="D14" s="27" t="s">
        <v>63</v>
      </c>
      <c r="E14" s="59" t="s">
        <v>267</v>
      </c>
      <c r="F14" s="60">
        <f>7850*0.15*0.01</f>
        <v>11.775</v>
      </c>
      <c r="G14" s="176">
        <v>200</v>
      </c>
      <c r="H14" s="177"/>
      <c r="I14" s="180">
        <f>1*3</f>
        <v>3</v>
      </c>
      <c r="J14" s="181"/>
      <c r="K14" s="30" t="s">
        <v>84</v>
      </c>
      <c r="L14" s="242">
        <f t="shared" ref="L14" si="11">IF(I14&lt;&gt;"",(F14*G14*0.001),"")</f>
        <v>2.355</v>
      </c>
      <c r="M14" s="83">
        <f t="shared" si="10"/>
        <v>7.0649999999999995</v>
      </c>
      <c r="N14" s="168"/>
    </row>
    <row r="15" spans="2:244">
      <c r="C15" s="34"/>
      <c r="D15" s="178" t="s">
        <v>1</v>
      </c>
      <c r="E15" s="178"/>
      <c r="F15" s="179" t="s">
        <v>8</v>
      </c>
      <c r="G15" s="179"/>
      <c r="H15" s="38"/>
      <c r="I15" s="39"/>
      <c r="J15" s="39"/>
      <c r="K15" s="38"/>
      <c r="L15" s="68"/>
      <c r="M15" s="4"/>
      <c r="ID15" s="5"/>
      <c r="IE15" s="5"/>
      <c r="IF15" s="5"/>
      <c r="IG15" s="5"/>
      <c r="IH15" s="5"/>
      <c r="II15" s="5"/>
      <c r="IJ15" s="5"/>
    </row>
    <row r="16" spans="2:244">
      <c r="C16" s="6"/>
      <c r="D16" s="25" t="s">
        <v>263</v>
      </c>
      <c r="E16" s="42">
        <v>100</v>
      </c>
      <c r="F16" s="147">
        <f>IF(E16&lt;&gt;"",SUMIF(E4:E14,E16,M4:M14),"")</f>
        <v>417.38400000000001</v>
      </c>
      <c r="G16" s="7" t="str">
        <f t="shared" ref="G16:G20" si="12">IF(F16&lt;&gt;"","kg","")</f>
        <v>kg</v>
      </c>
      <c r="K16" s="153" t="s">
        <v>111</v>
      </c>
      <c r="L16" s="154"/>
      <c r="M16" s="250" t="s">
        <v>85</v>
      </c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</row>
    <row r="17" spans="1:244">
      <c r="C17" s="6"/>
      <c r="D17" s="25" t="s">
        <v>17</v>
      </c>
      <c r="E17" s="42">
        <v>120</v>
      </c>
      <c r="F17" s="147">
        <f>IF(E17&lt;&gt;"",SUMIF(E4:E14,E17,M4:M14),"")</f>
        <v>328.03679999999997</v>
      </c>
      <c r="G17" s="7" t="str">
        <f t="shared" ref="G17" si="13">IF(F17&lt;&gt;"","kg","")</f>
        <v>kg</v>
      </c>
      <c r="K17" s="180"/>
      <c r="L17" s="181"/>
      <c r="M17" s="251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</row>
    <row r="18" spans="1:244">
      <c r="C18" s="6"/>
      <c r="D18" s="25" t="s">
        <v>63</v>
      </c>
      <c r="E18" s="42" t="s">
        <v>267</v>
      </c>
      <c r="F18" s="147">
        <f ca="1">IF(E18&lt;&gt;"",SUMIF(E4:E15,E18,M4:M14),"")</f>
        <v>47.618099999999998</v>
      </c>
      <c r="G18" s="7" t="str">
        <f t="shared" ca="1" si="12"/>
        <v>kg</v>
      </c>
      <c r="I18" s="11"/>
      <c r="J18" s="11"/>
      <c r="K18" s="163" t="s">
        <v>275</v>
      </c>
      <c r="L18" s="163"/>
      <c r="M18" s="149">
        <v>20</v>
      </c>
      <c r="ID18" s="5"/>
      <c r="IE18" s="5"/>
      <c r="IF18" s="5"/>
      <c r="IG18" s="5"/>
      <c r="IH18" s="5"/>
      <c r="II18" s="5"/>
      <c r="IJ18" s="5"/>
    </row>
    <row r="19" spans="1:244">
      <c r="C19" s="6"/>
      <c r="D19" s="25" t="s">
        <v>63</v>
      </c>
      <c r="E19" s="42" t="s">
        <v>271</v>
      </c>
      <c r="F19" s="147">
        <f>IF(E19&lt;&gt;"",SUMIF(E4:E14,E19,M4:M14),"")</f>
        <v>5.0868000000000002</v>
      </c>
      <c r="G19" s="7" t="str">
        <f t="shared" si="12"/>
        <v>kg</v>
      </c>
      <c r="I19" s="11"/>
      <c r="J19" s="11"/>
      <c r="K19" s="163"/>
      <c r="L19" s="163"/>
      <c r="M19" s="149"/>
      <c r="ID19" s="5"/>
      <c r="IE19" s="5"/>
      <c r="IF19" s="5"/>
      <c r="IG19" s="5"/>
      <c r="IH19" s="5"/>
      <c r="II19" s="5"/>
      <c r="IJ19" s="5"/>
    </row>
    <row r="20" spans="1:244">
      <c r="C20" s="6"/>
      <c r="D20" s="25" t="s">
        <v>63</v>
      </c>
      <c r="E20" s="42" t="s">
        <v>272</v>
      </c>
      <c r="F20" s="147">
        <f>IF(E20&lt;&gt;"",SUMIF(E4:E14,E20,M4:M14),"")</f>
        <v>4.71</v>
      </c>
      <c r="G20" s="7" t="str">
        <f t="shared" si="12"/>
        <v>kg</v>
      </c>
      <c r="I20" s="11"/>
      <c r="J20" s="11"/>
      <c r="K20" s="163"/>
      <c r="L20" s="163"/>
      <c r="M20" s="149"/>
      <c r="ID20" s="5"/>
      <c r="IE20" s="5"/>
      <c r="IF20" s="5"/>
      <c r="IG20" s="5"/>
      <c r="IH20" s="5"/>
      <c r="II20" s="5"/>
      <c r="IJ20" s="5"/>
    </row>
    <row r="21" spans="1:244" ht="11.25" customHeight="1">
      <c r="D21" s="252"/>
      <c r="E21" s="253" t="s">
        <v>9</v>
      </c>
      <c r="F21" s="254">
        <f ca="1">SUM(F16:F20)</f>
        <v>802.83570000000009</v>
      </c>
      <c r="G21" s="255" t="s">
        <v>108</v>
      </c>
      <c r="K21" s="163" t="s">
        <v>274</v>
      </c>
      <c r="L21" s="163"/>
      <c r="M21" s="149">
        <f>18+24+14</f>
        <v>56</v>
      </c>
    </row>
    <row r="22" spans="1:244">
      <c r="D22" s="256" t="s">
        <v>107</v>
      </c>
      <c r="E22" s="257"/>
      <c r="F22" s="258">
        <f ca="1">F21*0.015</f>
        <v>12.042535500000001</v>
      </c>
      <c r="G22" s="259" t="s">
        <v>108</v>
      </c>
      <c r="K22" s="163"/>
      <c r="L22" s="163"/>
      <c r="M22" s="149"/>
    </row>
    <row r="23" spans="1:244">
      <c r="K23" s="163"/>
      <c r="L23" s="163"/>
      <c r="M23" s="149"/>
    </row>
    <row r="25" spans="1:244" s="4" customFormat="1">
      <c r="A25" s="5"/>
      <c r="B25" s="132"/>
      <c r="C25" s="8"/>
      <c r="D25" s="8"/>
      <c r="E25" s="9"/>
      <c r="F25" s="10"/>
      <c r="G25" s="10"/>
      <c r="L25" s="11"/>
      <c r="M25" s="11"/>
    </row>
  </sheetData>
  <sheetProtection selectLockedCells="1" selectUnlockedCells="1"/>
  <mergeCells count="48">
    <mergeCell ref="B13:B14"/>
    <mergeCell ref="N13:N14"/>
    <mergeCell ref="D22:E22"/>
    <mergeCell ref="K21:L23"/>
    <mergeCell ref="M21:M23"/>
    <mergeCell ref="K18:L20"/>
    <mergeCell ref="M18:M20"/>
    <mergeCell ref="D15:E15"/>
    <mergeCell ref="F15:G15"/>
    <mergeCell ref="K16:L17"/>
    <mergeCell ref="M16:M17"/>
    <mergeCell ref="G14:H14"/>
    <mergeCell ref="I14:J14"/>
    <mergeCell ref="G13:H13"/>
    <mergeCell ref="I13:J13"/>
    <mergeCell ref="G6:H6"/>
    <mergeCell ref="I6:J6"/>
    <mergeCell ref="G7:H7"/>
    <mergeCell ref="I7:J7"/>
    <mergeCell ref="G12:H12"/>
    <mergeCell ref="I12:J12"/>
    <mergeCell ref="G9:H9"/>
    <mergeCell ref="I9:J9"/>
    <mergeCell ref="G11:H11"/>
    <mergeCell ref="B6:B7"/>
    <mergeCell ref="N6:N7"/>
    <mergeCell ref="B4:B5"/>
    <mergeCell ref="G4:H4"/>
    <mergeCell ref="I4:J4"/>
    <mergeCell ref="N4:N5"/>
    <mergeCell ref="G5:H5"/>
    <mergeCell ref="I5:J5"/>
    <mergeCell ref="C1:N1"/>
    <mergeCell ref="C2:C3"/>
    <mergeCell ref="D2:E3"/>
    <mergeCell ref="F2:F3"/>
    <mergeCell ref="G2:H3"/>
    <mergeCell ref="I2:J3"/>
    <mergeCell ref="K2:K3"/>
    <mergeCell ref="L2:M2"/>
    <mergeCell ref="N2:N3"/>
    <mergeCell ref="B8:B11"/>
    <mergeCell ref="G8:H8"/>
    <mergeCell ref="I8:J8"/>
    <mergeCell ref="N8:N11"/>
    <mergeCell ref="G10:H10"/>
    <mergeCell ref="I10:J10"/>
    <mergeCell ref="I11:J11"/>
  </mergeCells>
  <printOptions horizontalCentered="1"/>
  <pageMargins left="1.1811023622047245" right="0.39370078740157483" top="0.39370078740157483" bottom="0.39370078740157483" header="0.51181102362204722" footer="0.51181102362204722"/>
  <pageSetup paperSize="9" firstPageNumber="0" orientation="portrait" horizontalDpi="300" verticalDpi="300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8"/>
  <sheetViews>
    <sheetView view="pageBreakPreview" zoomScale="145" zoomScaleSheetLayoutView="145" workbookViewId="0">
      <selection activeCell="J12" sqref="J12"/>
    </sheetView>
  </sheetViews>
  <sheetFormatPr defaultColWidth="14.5" defaultRowHeight="11.25"/>
  <cols>
    <col min="1" max="1" width="0.6640625" style="5" customWidth="1"/>
    <col min="2" max="2" width="4.33203125" style="5" customWidth="1"/>
    <col min="3" max="3" width="4.5" style="8" bestFit="1" customWidth="1"/>
    <col min="4" max="4" width="3.6640625" style="8" bestFit="1" customWidth="1"/>
    <col min="5" max="5" width="10" style="9" customWidth="1"/>
    <col min="6" max="6" width="9.6640625" style="10" bestFit="1" customWidth="1"/>
    <col min="7" max="7" width="4.1640625" style="10" bestFit="1" customWidth="1"/>
    <col min="8" max="8" width="6.5" style="4" bestFit="1" customWidth="1"/>
    <col min="9" max="9" width="2.1640625" style="4" bestFit="1" customWidth="1"/>
    <col min="10" max="10" width="4.6640625" style="4" bestFit="1" customWidth="1"/>
    <col min="11" max="11" width="8.5" style="4" bestFit="1" customWidth="1"/>
    <col min="12" max="12" width="6.6640625" style="11" bestFit="1" customWidth="1"/>
    <col min="13" max="13" width="7" style="11" bestFit="1" customWidth="1"/>
    <col min="14" max="14" width="9.5" style="4" customWidth="1"/>
    <col min="15" max="15" width="5.6640625" style="4" customWidth="1"/>
    <col min="16" max="16" width="13.83203125" style="4" customWidth="1"/>
    <col min="17" max="17" width="5.83203125" style="4" bestFit="1" customWidth="1"/>
    <col min="18" max="18" width="5.1640625" style="4" bestFit="1" customWidth="1"/>
    <col min="19" max="19" width="4.1640625" style="4" bestFit="1" customWidth="1"/>
    <col min="20" max="243" width="13.83203125" style="4" customWidth="1"/>
    <col min="244" max="244" width="14.5" style="4"/>
    <col min="245" max="16384" width="14.5" style="5"/>
  </cols>
  <sheetData>
    <row r="1" spans="2:244">
      <c r="C1" s="184" t="s">
        <v>288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239"/>
    </row>
    <row r="2" spans="2:244">
      <c r="C2" s="185" t="s">
        <v>0</v>
      </c>
      <c r="D2" s="186" t="s">
        <v>1</v>
      </c>
      <c r="E2" s="186"/>
      <c r="F2" s="187" t="s">
        <v>2</v>
      </c>
      <c r="G2" s="187" t="s">
        <v>3</v>
      </c>
      <c r="H2" s="187"/>
      <c r="I2" s="188" t="s">
        <v>4</v>
      </c>
      <c r="J2" s="188"/>
      <c r="K2" s="189" t="s">
        <v>5</v>
      </c>
      <c r="L2" s="191" t="s">
        <v>123</v>
      </c>
      <c r="M2" s="191"/>
      <c r="N2" s="192" t="s">
        <v>14</v>
      </c>
      <c r="O2" s="239"/>
    </row>
    <row r="3" spans="2:244">
      <c r="C3" s="260"/>
      <c r="D3" s="186"/>
      <c r="E3" s="186"/>
      <c r="F3" s="187"/>
      <c r="G3" s="187"/>
      <c r="H3" s="187"/>
      <c r="I3" s="188"/>
      <c r="J3" s="188"/>
      <c r="K3" s="261"/>
      <c r="L3" s="262" t="s">
        <v>6</v>
      </c>
      <c r="M3" s="22" t="s">
        <v>7</v>
      </c>
      <c r="N3" s="192"/>
      <c r="O3" s="239"/>
    </row>
    <row r="4" spans="2:244">
      <c r="B4" s="141" t="s">
        <v>276</v>
      </c>
      <c r="C4" s="263" t="s">
        <v>10</v>
      </c>
      <c r="D4" s="108" t="s">
        <v>17</v>
      </c>
      <c r="E4" s="12">
        <v>120</v>
      </c>
      <c r="F4" s="56">
        <v>10.4</v>
      </c>
      <c r="G4" s="182">
        <v>1990</v>
      </c>
      <c r="H4" s="183"/>
      <c r="I4" s="173">
        <v>1</v>
      </c>
      <c r="J4" s="174"/>
      <c r="K4" s="74" t="s">
        <v>84</v>
      </c>
      <c r="L4" s="264">
        <f>IF(I4&lt;&gt;"",(F4*G4*0.001),"")</f>
        <v>20.696000000000002</v>
      </c>
      <c r="M4" s="265">
        <f t="shared" ref="M4:M8" si="0">IF(I4&lt;&gt;"",I4*L4,"")</f>
        <v>20.696000000000002</v>
      </c>
      <c r="N4" s="142" t="s">
        <v>35</v>
      </c>
      <c r="O4" s="239"/>
    </row>
    <row r="5" spans="2:244" ht="22.5">
      <c r="B5" s="141" t="s">
        <v>277</v>
      </c>
      <c r="C5" s="266" t="s">
        <v>11</v>
      </c>
      <c r="D5" s="267" t="s">
        <v>280</v>
      </c>
      <c r="E5" s="268" t="s">
        <v>281</v>
      </c>
      <c r="F5" s="56">
        <v>4.32</v>
      </c>
      <c r="G5" s="182">
        <v>134</v>
      </c>
      <c r="H5" s="183"/>
      <c r="I5" s="173">
        <v>2</v>
      </c>
      <c r="J5" s="174"/>
      <c r="K5" s="74" t="s">
        <v>84</v>
      </c>
      <c r="L5" s="264">
        <f>IF(I5&lt;&gt;"",(F5*G5*0.001),"")</f>
        <v>0.57888000000000006</v>
      </c>
      <c r="M5" s="265">
        <f t="shared" si="0"/>
        <v>1.1577600000000001</v>
      </c>
      <c r="N5" s="142" t="s">
        <v>284</v>
      </c>
      <c r="O5" s="239"/>
    </row>
    <row r="6" spans="2:244" ht="22.5">
      <c r="B6" s="139" t="s">
        <v>278</v>
      </c>
      <c r="C6" s="269" t="s">
        <v>12</v>
      </c>
      <c r="D6" s="267" t="s">
        <v>280</v>
      </c>
      <c r="E6" s="268" t="s">
        <v>281</v>
      </c>
      <c r="F6" s="56">
        <v>4.32</v>
      </c>
      <c r="G6" s="182">
        <v>1990</v>
      </c>
      <c r="H6" s="183"/>
      <c r="I6" s="173">
        <v>2</v>
      </c>
      <c r="J6" s="174"/>
      <c r="K6" s="29" t="s">
        <v>84</v>
      </c>
      <c r="L6" s="14">
        <f>IF(I6&lt;&gt;"",(F6*G6*0.001),"")</f>
        <v>8.5968000000000018</v>
      </c>
      <c r="M6" s="80">
        <f t="shared" si="0"/>
        <v>17.193600000000004</v>
      </c>
      <c r="N6" s="140" t="s">
        <v>284</v>
      </c>
      <c r="O6" s="239"/>
    </row>
    <row r="7" spans="2:244">
      <c r="B7" s="139" t="s">
        <v>279</v>
      </c>
      <c r="C7" s="270" t="s">
        <v>26</v>
      </c>
      <c r="D7" s="271" t="s">
        <v>63</v>
      </c>
      <c r="E7" s="272" t="s">
        <v>282</v>
      </c>
      <c r="F7" s="73">
        <f>7850*0.05*0.005</f>
        <v>1.9625000000000001</v>
      </c>
      <c r="G7" s="247">
        <v>50</v>
      </c>
      <c r="H7" s="248"/>
      <c r="I7" s="209">
        <v>4</v>
      </c>
      <c r="J7" s="210"/>
      <c r="K7" s="74" t="s">
        <v>84</v>
      </c>
      <c r="L7" s="75">
        <f>IF(I7&lt;&gt;"",(F7*G7*0.001),"")</f>
        <v>9.8125000000000004E-2</v>
      </c>
      <c r="M7" s="84">
        <f t="shared" si="0"/>
        <v>0.39250000000000002</v>
      </c>
      <c r="N7" s="249" t="s">
        <v>106</v>
      </c>
      <c r="O7" s="239"/>
    </row>
    <row r="8" spans="2:244">
      <c r="B8" s="139" t="s">
        <v>285</v>
      </c>
      <c r="C8" s="58" t="s">
        <v>50</v>
      </c>
      <c r="D8" s="27" t="s">
        <v>63</v>
      </c>
      <c r="E8" s="59" t="s">
        <v>283</v>
      </c>
      <c r="F8" s="73">
        <f>7850*0.025*0.006</f>
        <v>1.1775</v>
      </c>
      <c r="G8" s="273">
        <v>50</v>
      </c>
      <c r="H8" s="274"/>
      <c r="I8" s="275">
        <v>4</v>
      </c>
      <c r="J8" s="276"/>
      <c r="K8" s="30" t="s">
        <v>84</v>
      </c>
      <c r="L8" s="23">
        <f>IF(I8&lt;&gt;"",(F8*G8*0.001),"")</f>
        <v>5.8875000000000004E-2</v>
      </c>
      <c r="M8" s="277">
        <f t="shared" si="0"/>
        <v>0.23550000000000001</v>
      </c>
      <c r="N8" s="278" t="s">
        <v>106</v>
      </c>
      <c r="O8" s="239"/>
    </row>
    <row r="9" spans="2:244">
      <c r="C9" s="6"/>
      <c r="D9" s="279" t="s">
        <v>1</v>
      </c>
      <c r="E9" s="279"/>
      <c r="F9" s="280" t="s">
        <v>8</v>
      </c>
      <c r="G9" s="280"/>
      <c r="I9" s="11"/>
      <c r="J9" s="11"/>
      <c r="L9" s="68"/>
      <c r="M9" s="4"/>
      <c r="O9" s="239"/>
      <c r="ID9" s="5"/>
      <c r="IE9" s="5"/>
      <c r="IF9" s="5"/>
      <c r="IG9" s="5"/>
      <c r="IH9" s="5"/>
      <c r="II9" s="5"/>
      <c r="IJ9" s="5"/>
    </row>
    <row r="10" spans="2:244">
      <c r="C10" s="6"/>
      <c r="D10" s="25" t="s">
        <v>17</v>
      </c>
      <c r="E10" s="42">
        <v>120</v>
      </c>
      <c r="F10" s="147">
        <f>IF(E10&lt;&gt;"",SUMIF(E3:E7,E10,M3:M7),"")</f>
        <v>20.696000000000002</v>
      </c>
      <c r="G10" s="7" t="str">
        <f t="shared" ref="G10" si="1">IF(F10&lt;&gt;"","kg","")</f>
        <v>kg</v>
      </c>
      <c r="K10" s="153" t="s">
        <v>111</v>
      </c>
      <c r="L10" s="154"/>
      <c r="M10" s="250" t="s">
        <v>85</v>
      </c>
      <c r="O10" s="239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</row>
    <row r="11" spans="2:244">
      <c r="C11" s="6"/>
      <c r="D11" s="25" t="s">
        <v>280</v>
      </c>
      <c r="E11" s="42" t="s">
        <v>281</v>
      </c>
      <c r="F11" s="147">
        <f>IF(E11&lt;&gt;"",SUMIF(E4:E8,E11,M4:M8),"")</f>
        <v>18.351360000000003</v>
      </c>
      <c r="G11" s="7" t="str">
        <f t="shared" ref="G11:G13" si="2">IF(F11&lt;&gt;"","kg","")</f>
        <v>kg</v>
      </c>
      <c r="K11" s="180"/>
      <c r="L11" s="181"/>
      <c r="M11" s="251"/>
      <c r="O11" s="239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</row>
    <row r="12" spans="2:244">
      <c r="C12" s="6"/>
      <c r="D12" s="25" t="s">
        <v>63</v>
      </c>
      <c r="E12" s="42" t="s">
        <v>282</v>
      </c>
      <c r="F12" s="147">
        <f ca="1">IF(E12&lt;&gt;"",SUMIF(E4:E9,E12,M4:M8),"")</f>
        <v>0.39250000000000002</v>
      </c>
      <c r="G12" s="7" t="str">
        <f t="shared" ca="1" si="2"/>
        <v>kg</v>
      </c>
      <c r="I12" s="11"/>
      <c r="J12" s="11"/>
      <c r="K12" s="163" t="s">
        <v>287</v>
      </c>
      <c r="L12" s="163"/>
      <c r="M12" s="149">
        <v>4</v>
      </c>
      <c r="O12" s="239"/>
      <c r="ID12" s="5"/>
      <c r="IE12" s="5"/>
      <c r="IF12" s="5"/>
      <c r="IG12" s="5"/>
      <c r="IH12" s="5"/>
      <c r="II12" s="5"/>
      <c r="IJ12" s="5"/>
    </row>
    <row r="13" spans="2:244">
      <c r="C13" s="6"/>
      <c r="D13" s="27" t="s">
        <v>63</v>
      </c>
      <c r="E13" s="59" t="s">
        <v>283</v>
      </c>
      <c r="F13" s="147">
        <f>IF(E13&lt;&gt;"",SUMIF(E4:E8,E13,M4:M8),"")</f>
        <v>0.23550000000000001</v>
      </c>
      <c r="G13" s="7" t="str">
        <f t="shared" si="2"/>
        <v>kg</v>
      </c>
      <c r="I13" s="11"/>
      <c r="J13" s="11"/>
      <c r="K13" s="163"/>
      <c r="L13" s="163"/>
      <c r="M13" s="149"/>
      <c r="O13" s="239"/>
      <c r="ID13" s="5"/>
      <c r="IE13" s="5"/>
      <c r="IF13" s="5"/>
      <c r="IG13" s="5"/>
      <c r="IH13" s="5"/>
      <c r="II13" s="5"/>
      <c r="IJ13" s="5"/>
    </row>
    <row r="14" spans="2:244" ht="11.25" customHeight="1">
      <c r="D14" s="281"/>
      <c r="E14" s="282" t="s">
        <v>9</v>
      </c>
      <c r="F14" s="258">
        <f ca="1">SUM(F10:F13)</f>
        <v>39.675360000000005</v>
      </c>
      <c r="G14" s="283" t="s">
        <v>108</v>
      </c>
      <c r="K14" s="163" t="s">
        <v>286</v>
      </c>
      <c r="L14" s="163"/>
      <c r="M14" s="149">
        <v>18</v>
      </c>
      <c r="O14" s="239"/>
    </row>
    <row r="15" spans="2:244">
      <c r="E15" s="8"/>
      <c r="F15" s="8"/>
      <c r="G15" s="8"/>
      <c r="K15" s="163"/>
      <c r="L15" s="163"/>
      <c r="M15" s="149"/>
      <c r="O15" s="239"/>
    </row>
    <row r="16" spans="2:244">
      <c r="K16" s="163"/>
      <c r="L16" s="163"/>
      <c r="M16" s="149"/>
      <c r="O16" s="239"/>
    </row>
    <row r="18" spans="1:13" s="4" customFormat="1">
      <c r="A18" s="5"/>
      <c r="B18" s="132"/>
      <c r="C18" s="8"/>
      <c r="D18" s="8"/>
      <c r="E18" s="9"/>
      <c r="F18" s="10"/>
      <c r="G18" s="10"/>
      <c r="L18" s="11"/>
      <c r="M18" s="11"/>
    </row>
  </sheetData>
  <sheetProtection selectLockedCells="1" selectUnlockedCells="1"/>
  <mergeCells count="27">
    <mergeCell ref="G5:H5"/>
    <mergeCell ref="I5:J5"/>
    <mergeCell ref="G4:H4"/>
    <mergeCell ref="I4:J4"/>
    <mergeCell ref="C1:N1"/>
    <mergeCell ref="C2:C3"/>
    <mergeCell ref="D2:E3"/>
    <mergeCell ref="F2:F3"/>
    <mergeCell ref="G2:H3"/>
    <mergeCell ref="I2:J3"/>
    <mergeCell ref="K2:K3"/>
    <mergeCell ref="L2:M2"/>
    <mergeCell ref="N2:N3"/>
    <mergeCell ref="G7:H7"/>
    <mergeCell ref="I7:J7"/>
    <mergeCell ref="G8:H8"/>
    <mergeCell ref="I8:J8"/>
    <mergeCell ref="G6:H6"/>
    <mergeCell ref="I6:J6"/>
    <mergeCell ref="K14:L16"/>
    <mergeCell ref="M14:M16"/>
    <mergeCell ref="D9:E9"/>
    <mergeCell ref="F9:G9"/>
    <mergeCell ref="K10:L11"/>
    <mergeCell ref="M10:M11"/>
    <mergeCell ref="K12:L13"/>
    <mergeCell ref="M12:M13"/>
  </mergeCells>
  <printOptions horizontalCentered="1"/>
  <pageMargins left="1.1811023622047245" right="0.39370078740157483" top="0.39370078740157483" bottom="0.39370078740157483" header="0.51181102362204722" footer="0.51181102362204722"/>
  <pageSetup paperSize="9" firstPageNumber="0" orientation="portrait" horizontalDpi="300" verticalDpi="300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view="pageBreakPreview" zoomScale="180" zoomScaleSheetLayoutView="180" workbookViewId="0"/>
  </sheetViews>
  <sheetFormatPr defaultColWidth="14" defaultRowHeight="17.100000000000001" customHeight="1"/>
  <cols>
    <col min="1" max="1" width="14" style="1"/>
    <col min="2" max="2" width="18.33203125" style="1" customWidth="1"/>
    <col min="3" max="16384" width="14" style="1"/>
  </cols>
  <sheetData>
    <row r="1" spans="1:2" ht="11.25">
      <c r="A1" s="2">
        <v>4.5</v>
      </c>
      <c r="B1" s="1">
        <f t="shared" ref="B1:B13" si="0">ROUND((PI()*(A1/1000)^2)/4*7850,3)</f>
        <v>0.125</v>
      </c>
    </row>
    <row r="2" spans="1:2" ht="11.25">
      <c r="A2" s="2">
        <v>6</v>
      </c>
      <c r="B2" s="1">
        <f t="shared" si="0"/>
        <v>0.222</v>
      </c>
    </row>
    <row r="3" spans="1:2" ht="11.25">
      <c r="A3" s="2">
        <v>8</v>
      </c>
      <c r="B3" s="1">
        <f t="shared" si="0"/>
        <v>0.39500000000000002</v>
      </c>
    </row>
    <row r="4" spans="1:2" ht="11.25">
      <c r="A4" s="2">
        <v>10</v>
      </c>
      <c r="B4" s="1">
        <f t="shared" si="0"/>
        <v>0.61699999999999999</v>
      </c>
    </row>
    <row r="5" spans="1:2" ht="11.25">
      <c r="A5" s="2">
        <v>12</v>
      </c>
      <c r="B5" s="1">
        <f t="shared" si="0"/>
        <v>0.88800000000000001</v>
      </c>
    </row>
    <row r="6" spans="1:2" ht="11.25">
      <c r="A6" s="2">
        <v>14</v>
      </c>
      <c r="B6" s="1">
        <f t="shared" si="0"/>
        <v>1.208</v>
      </c>
    </row>
    <row r="7" spans="1:2" ht="11.25">
      <c r="A7" s="2">
        <v>16</v>
      </c>
      <c r="B7" s="1">
        <f t="shared" si="0"/>
        <v>1.5780000000000001</v>
      </c>
    </row>
    <row r="8" spans="1:2" ht="11.25">
      <c r="A8" s="2">
        <v>18</v>
      </c>
      <c r="B8" s="1">
        <f t="shared" si="0"/>
        <v>1.998</v>
      </c>
    </row>
    <row r="9" spans="1:2" ht="11.25">
      <c r="A9" s="2">
        <v>20</v>
      </c>
      <c r="B9" s="1">
        <f t="shared" si="0"/>
        <v>2.4660000000000002</v>
      </c>
    </row>
    <row r="10" spans="1:2" ht="11.25">
      <c r="A10" s="2">
        <v>22</v>
      </c>
      <c r="B10" s="1">
        <f t="shared" si="0"/>
        <v>2.984</v>
      </c>
    </row>
    <row r="11" spans="1:2" ht="11.25">
      <c r="A11" s="2">
        <v>25</v>
      </c>
      <c r="B11" s="1">
        <f t="shared" si="0"/>
        <v>3.8530000000000002</v>
      </c>
    </row>
    <row r="12" spans="1:2" ht="11.25">
      <c r="A12" s="2">
        <v>28</v>
      </c>
      <c r="B12" s="1">
        <f t="shared" si="0"/>
        <v>4.8339999999999996</v>
      </c>
    </row>
    <row r="13" spans="1:2" ht="11.25">
      <c r="A13" s="2">
        <v>32</v>
      </c>
      <c r="B13" s="1">
        <f t="shared" si="0"/>
        <v>6.3129999999999997</v>
      </c>
    </row>
  </sheetData>
  <sheetProtection selectLockedCells="1" selectUnlockedCells="1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260A84C1481144B0B782F66610A358" ma:contentTypeVersion="22" ma:contentTypeDescription="Utwórz nowy dokument." ma:contentTypeScope="" ma:versionID="f692095beb5fddd2797784b197c7a549">
  <xsd:schema xmlns:xsd="http://www.w3.org/2001/XMLSchema" xmlns:xs="http://www.w3.org/2001/XMLSchema" xmlns:p="http://schemas.microsoft.com/office/2006/metadata/properties" xmlns:ns2="c12a68d7-1108-43a5-abe3-4fdccd6f884b" xmlns:ns3="1a22a174-00b3-4bbe-bcf3-64e772670538" targetNamespace="http://schemas.microsoft.com/office/2006/metadata/properties" ma:root="true" ma:fieldsID="7b292b54cf35a5d1140f5db0bcf97a26" ns2:_="" ns3:_="">
    <xsd:import namespace="c12a68d7-1108-43a5-abe3-4fdccd6f884b"/>
    <xsd:import namespace="1a22a174-00b3-4bbe-bcf3-64e7726705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2a68d7-1108-43a5-abe3-4fdccd6f88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Tagi obrazów" ma:readOnly="false" ma:fieldId="{5cf76f15-5ced-4ddc-b409-7134ff3c332f}" ma:taxonomyMulti="true" ma:sspId="e202bf10-4f99-490d-b6a4-1cff37ab84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22a174-00b3-4bbe-bcf3-64e77267053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3a4612c-19c6-4b6f-8d62-a1411dd76da7}" ma:internalName="TaxCatchAll" ma:showField="CatchAllData" ma:web="1a22a174-00b3-4bbe-bcf3-64e7726705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12a68d7-1108-43a5-abe3-4fdccd6f884b">
      <Terms xmlns="http://schemas.microsoft.com/office/infopath/2007/PartnerControls"/>
    </lcf76f155ced4ddcb4097134ff3c332f>
    <TaxCatchAll xmlns="1a22a174-00b3-4bbe-bcf3-64e772670538" xsi:nil="true"/>
  </documentManagement>
</p:properties>
</file>

<file path=customXml/itemProps1.xml><?xml version="1.0" encoding="utf-8"?>
<ds:datastoreItem xmlns:ds="http://schemas.openxmlformats.org/officeDocument/2006/customXml" ds:itemID="{FB0A3FFE-F892-4928-90D0-0B349DB77D25}"/>
</file>

<file path=customXml/itemProps2.xml><?xml version="1.0" encoding="utf-8"?>
<ds:datastoreItem xmlns:ds="http://schemas.openxmlformats.org/officeDocument/2006/customXml" ds:itemID="{79706402-D0F2-4D70-8425-52B32F2C9569}"/>
</file>

<file path=customXml/itemProps3.xml><?xml version="1.0" encoding="utf-8"?>
<ds:datastoreItem xmlns:ds="http://schemas.openxmlformats.org/officeDocument/2006/customXml" ds:itemID="{2035273E-EE6C-4872-9EB9-327E7D48C7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Stal</vt:lpstr>
      <vt:lpstr>Żelbet</vt:lpstr>
      <vt:lpstr>Stal na podkonstrukcję central </vt:lpstr>
      <vt:lpstr>Stal na podkonstrukcję pomostu</vt:lpstr>
      <vt:lpstr>Dane</vt:lpstr>
      <vt:lpstr>Stal!Obszar_wydruku</vt:lpstr>
      <vt:lpstr>'Stal na podkonstrukcję central '!Obszar_wydruku</vt:lpstr>
      <vt:lpstr>'Stal na podkonstrukcję pomostu'!Obszar_wydruku</vt:lpstr>
      <vt:lpstr>Żelbet!Obszar_wydruku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Jas-Projekt</dc:creator>
  <cp:lastModifiedBy>JAS-PROJEKT</cp:lastModifiedBy>
  <cp:lastPrinted>2018-12-17T13:36:01Z</cp:lastPrinted>
  <dcterms:created xsi:type="dcterms:W3CDTF">2015-11-09T14:17:29Z</dcterms:created>
  <dcterms:modified xsi:type="dcterms:W3CDTF">2018-12-17T13:36:08Z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0x010100B4260A84C1481144B0B782F66610A358</vt:lpwstr>
  </property>
</Properties>
</file>