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E 2020.03.13\GZ Kraśnik\gaz #3 przetarg\"/>
    </mc:Choice>
  </mc:AlternateContent>
  <xr:revisionPtr revIDLastSave="0" documentId="13_ncr:1_{0728C232-FF40-4719-9A95-854E138F3B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Arkusz1!$A$5:$AA$36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P6" i="1"/>
  <c r="T6" i="1"/>
  <c r="V6" i="1"/>
  <c r="N7" i="1"/>
  <c r="P7" i="1"/>
  <c r="T7" i="1"/>
  <c r="V7" i="1"/>
  <c r="N8" i="1"/>
  <c r="P8" i="1"/>
  <c r="T8" i="1"/>
  <c r="V8" i="1"/>
  <c r="N9" i="1"/>
  <c r="P9" i="1"/>
  <c r="T9" i="1"/>
  <c r="V9" i="1"/>
  <c r="N10" i="1"/>
  <c r="R10" i="1" s="1"/>
  <c r="P10" i="1"/>
  <c r="T10" i="1"/>
  <c r="V10" i="1"/>
  <c r="N11" i="1"/>
  <c r="P11" i="1"/>
  <c r="T11" i="1"/>
  <c r="V11" i="1"/>
  <c r="N12" i="1"/>
  <c r="P12" i="1"/>
  <c r="T12" i="1"/>
  <c r="V12" i="1"/>
  <c r="N13" i="1"/>
  <c r="P13" i="1"/>
  <c r="T13" i="1"/>
  <c r="V13" i="1"/>
  <c r="N14" i="1"/>
  <c r="P14" i="1"/>
  <c r="T14" i="1"/>
  <c r="V14" i="1"/>
  <c r="N15" i="1"/>
  <c r="P15" i="1"/>
  <c r="T15" i="1"/>
  <c r="V15" i="1"/>
  <c r="N16" i="1"/>
  <c r="P16" i="1"/>
  <c r="T16" i="1"/>
  <c r="V16" i="1"/>
  <c r="N17" i="1"/>
  <c r="P17" i="1"/>
  <c r="T17" i="1"/>
  <c r="V17" i="1"/>
  <c r="N18" i="1"/>
  <c r="P18" i="1"/>
  <c r="T18" i="1"/>
  <c r="V18" i="1"/>
  <c r="N19" i="1"/>
  <c r="P19" i="1"/>
  <c r="T19" i="1"/>
  <c r="V19" i="1"/>
  <c r="N20" i="1"/>
  <c r="P20" i="1"/>
  <c r="T20" i="1"/>
  <c r="V20" i="1"/>
  <c r="Z20" i="1"/>
  <c r="Z6" i="1"/>
  <c r="Z19" i="1"/>
  <c r="Z18" i="1"/>
  <c r="R7" i="1" l="1"/>
  <c r="R6" i="1"/>
  <c r="R20" i="1"/>
  <c r="R18" i="1"/>
  <c r="R19" i="1"/>
  <c r="R15" i="1"/>
  <c r="R13" i="1"/>
  <c r="R11" i="1"/>
  <c r="R14" i="1"/>
  <c r="R12" i="1"/>
  <c r="R17" i="1"/>
  <c r="R16" i="1"/>
  <c r="R9" i="1"/>
  <c r="R8" i="1"/>
  <c r="W20" i="1"/>
  <c r="X20" i="1" s="1"/>
  <c r="Y20" i="1" s="1"/>
  <c r="W19" i="1"/>
  <c r="W18" i="1"/>
  <c r="Z33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I21" i="1"/>
  <c r="I27" i="1" s="1"/>
  <c r="I33" i="1" s="1"/>
  <c r="Z27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Z17" i="1"/>
  <c r="Z16" i="1"/>
  <c r="Z15" i="1"/>
  <c r="Z14" i="1"/>
  <c r="Z13" i="1"/>
  <c r="Z12" i="1"/>
  <c r="Z11" i="1"/>
  <c r="Z10" i="1"/>
  <c r="Z9" i="1"/>
  <c r="Z8" i="1"/>
  <c r="Z7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X19" i="1" l="1"/>
  <c r="Y19" i="1" s="1"/>
  <c r="X18" i="1"/>
  <c r="Y18" i="1" s="1"/>
  <c r="W10" i="1"/>
  <c r="X10" i="1" s="1"/>
  <c r="Y10" i="1" s="1"/>
  <c r="W14" i="1"/>
  <c r="X14" i="1" s="1"/>
  <c r="Y14" i="1" s="1"/>
  <c r="W17" i="1"/>
  <c r="W15" i="1"/>
  <c r="W12" i="1"/>
  <c r="W13" i="1"/>
  <c r="W9" i="1"/>
  <c r="W11" i="1"/>
  <c r="W16" i="1"/>
  <c r="W8" i="1"/>
  <c r="W6" i="1"/>
  <c r="X6" i="1" l="1"/>
  <c r="Y6" i="1" s="1"/>
  <c r="X12" i="1"/>
  <c r="Y12" i="1" s="1"/>
  <c r="X17" i="1"/>
  <c r="Y17" i="1" s="1"/>
  <c r="X16" i="1"/>
  <c r="Y16" i="1" s="1"/>
  <c r="X15" i="1"/>
  <c r="Y15" i="1" s="1"/>
  <c r="X9" i="1"/>
  <c r="Y9" i="1" s="1"/>
  <c r="X11" i="1"/>
  <c r="Y11" i="1" s="1"/>
  <c r="X13" i="1"/>
  <c r="Y13" i="1" s="1"/>
  <c r="X8" i="1"/>
  <c r="Y8" i="1" s="1"/>
  <c r="W7" i="1"/>
  <c r="X7" i="1" s="1"/>
  <c r="Y7" i="1" s="1"/>
  <c r="X21" i="1" l="1"/>
  <c r="X27" i="1" s="1"/>
  <c r="X33" i="1" s="1"/>
  <c r="Y33" i="1" s="1"/>
  <c r="Y21" i="1"/>
  <c r="Y27" i="1" l="1"/>
</calcChain>
</file>

<file path=xl/sharedStrings.xml><?xml version="1.0" encoding="utf-8"?>
<sst xmlns="http://schemas.openxmlformats.org/spreadsheetml/2006/main" count="143" uniqueCount="61">
  <si>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</si>
  <si>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</si>
  <si>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</si>
  <si>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</si>
  <si>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</si>
  <si>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</si>
  <si>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</si>
  <si>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</si>
  <si>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</si>
  <si>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</si>
  <si>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</si>
  <si>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</si>
  <si>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</si>
  <si>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</si>
  <si>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wartość ciepła spalania 39,5 MJ/m3.</t>
    </r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</si>
  <si>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</si>
  <si>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</si>
  <si>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</si>
  <si>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</si>
  <si>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</si>
  <si>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</si>
  <si>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</si>
  <si>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</si>
  <si>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</si>
  <si>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t xml:space="preserve">Cena jednostkowa za paliwo gazowe, którego nie obejmuje ochrona taryfowa, z akcyzą 1,38 zł/GJ*
</t>
    </r>
    <r>
      <rPr>
        <sz val="9"/>
        <rFont val="Calibri"/>
        <family val="2"/>
        <charset val="238"/>
        <scheme val="minor"/>
      </rPr>
      <t>[gr/kWh]
(kol. 15 + 0,39)</t>
    </r>
  </si>
  <si>
    <r>
      <rPr>
        <b/>
        <sz val="9"/>
        <rFont val="Calibri"/>
        <family val="2"/>
        <charset val="238"/>
        <scheme val="minor"/>
      </rPr>
      <t>Opłata handlowa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</si>
  <si>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</si>
  <si>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</si>
  <si>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</si>
  <si>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</si>
  <si>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</si>
  <si>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</si>
  <si>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</si>
  <si>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t xml:space="preserve">Cena jednostkowa za paliwo gazowe objęte ochroną taryfową**, z akcyzą 1,38 zł/GJ*
</t>
    </r>
    <r>
      <rPr>
        <sz val="9"/>
        <rFont val="Calibri"/>
        <family val="2"/>
        <charset val="238"/>
        <scheme val="minor"/>
      </rPr>
      <t>[gr/kWh]
(kol. 13 + 0,39)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</si>
  <si>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</si>
  <si>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**Rozliczenia kosztów dystrybucji dla wszystkich odbiorców oraz kosztów paliwa gazowego dla odbiorców chronionych będą prowadzone zgodnie z taryfami obowiązującymi w okresie dostawy.</t>
  </si>
  <si>
    <t>W-1.1_TA</t>
  </si>
  <si>
    <t>PSG Sp. z o.o. - Tarnów</t>
  </si>
  <si>
    <t>W-2.1_TA</t>
  </si>
  <si>
    <t>W-3.6_TA</t>
  </si>
  <si>
    <t>W-3.9_TA</t>
  </si>
  <si>
    <t>W-4_TA</t>
  </si>
  <si>
    <t>W-5.1_TA</t>
  </si>
  <si>
    <t>01.01.2024 – 31.12.2025</t>
  </si>
  <si>
    <t>01.04.2024 – 31.12.2025</t>
  </si>
  <si>
    <t>Tabela A: Zamówienie podstawowe</t>
  </si>
  <si>
    <t>Tabela B: Prawo opcji, 20% wartości zamówienia podstawowego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</si>
  <si>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(20% × suma kol. 9 z Tabeli A)
[kWh]</t>
    </r>
  </si>
  <si>
    <t>(suma kol. 24 z Tabeli A / suma kol. 9 z Tabeli A) × kol. 9 z Tabeli B</t>
  </si>
  <si>
    <t>Tabela C: Suma wartości zamówienia podstawowego oraz prawa opcji</t>
  </si>
  <si>
    <t>(suma z kol. 24 z Tabeli A + kol. 24 z Tabeli B)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</si>
  <si>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(suma z kol. 9 z Tabeli A + kol. 9 z Tabeli B)</t>
    </r>
  </si>
  <si>
    <t>(B)W-1.12T</t>
  </si>
  <si>
    <t>(B)W-1.1</t>
  </si>
  <si>
    <t>(B)W-2.12T</t>
  </si>
  <si>
    <t>(B)W-2.1</t>
  </si>
  <si>
    <t>(B)W-3.12T</t>
  </si>
  <si>
    <t>(B)W-3.6</t>
  </si>
  <si>
    <t>(B)W-3.9</t>
  </si>
  <si>
    <t>(B)W-4</t>
  </si>
  <si>
    <t>(B)W-5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</si>
</sst>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5" borderId="7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1"/>
  <sheetViews>
    <sheetView tabSelected="1" zoomScale="70" zoomScaleNormal="70" workbookViewId="0">
      <selection activeCell="H11" sqref="H11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6" width="15.8867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3.88671875" style="9" customWidth="1"/>
    <col min="26" max="26" width="7.88671875" customWidth="1"/>
    <col min="27" max="27" width="20.33203125" customWidth="1"/>
    <col min="28" max="28" width="9.88671875" bestFit="1" customWidth="1"/>
  </cols>
  <sheetData>
    <row r="1" spans="1:27" ht="15.75" customHeight="1" x14ac:dyDescent="0.3">
      <c r="A1" s="30" t="s">
        <v>13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</row>
    <row r="2" spans="1:27" ht="15.75" customHeight="1" x14ac:dyDescent="0.3">
      <c r="A2" s="21" t="s">
        <v>45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27" ht="24" customHeight="1" x14ac:dyDescent="0.3">
      <c r="A3" s="25" t="s">
        <v>17</v>
      </c>
      <c r="B3" s="28" t="s">
        <v>18</v>
      </c>
      <c r="C3" s="25" t="s">
        <v>0</v>
      </c>
      <c r="D3" s="25" t="s">
        <v>7</v>
      </c>
      <c r="E3" s="27" t="s">
        <v>19</v>
      </c>
      <c r="F3" s="27" t="s">
        <v>20</v>
      </c>
      <c r="G3" s="27" t="s">
        <v>21</v>
      </c>
      <c r="H3" s="27" t="s">
        <v>22</v>
      </c>
      <c r="I3" s="27" t="s">
        <v>8</v>
      </c>
      <c r="J3" s="25" t="s">
        <v>1</v>
      </c>
      <c r="K3" s="25" t="s">
        <v>2</v>
      </c>
      <c r="L3" s="25" t="s">
        <v>3</v>
      </c>
      <c r="M3" s="26" t="s">
        <v>9</v>
      </c>
      <c r="N3" s="26"/>
      <c r="O3" s="26"/>
      <c r="P3" s="26"/>
      <c r="Q3" s="26"/>
      <c r="R3" s="26"/>
      <c r="S3" s="26" t="s">
        <v>10</v>
      </c>
      <c r="T3" s="26"/>
      <c r="U3" s="26"/>
      <c r="V3" s="26"/>
      <c r="W3" s="26"/>
      <c r="X3" s="1" t="s">
        <v>11</v>
      </c>
      <c r="Y3" s="1" t="s">
        <v>12</v>
      </c>
      <c r="Z3" s="1"/>
      <c r="AA3" s="12"/>
    </row>
    <row r="4" spans="1:27" ht="144" x14ac:dyDescent="0.3">
      <c r="A4" s="25"/>
      <c r="B4" s="29"/>
      <c r="C4" s="25"/>
      <c r="D4" s="25"/>
      <c r="E4" s="27"/>
      <c r="F4" s="27"/>
      <c r="G4" s="27"/>
      <c r="H4" s="27"/>
      <c r="I4" s="27"/>
      <c r="J4" s="25"/>
      <c r="K4" s="25"/>
      <c r="L4" s="25"/>
      <c r="M4" s="17" t="s">
        <v>34</v>
      </c>
      <c r="N4" s="16" t="s">
        <v>33</v>
      </c>
      <c r="O4" s="17" t="s">
        <v>23</v>
      </c>
      <c r="P4" s="16" t="s">
        <v>24</v>
      </c>
      <c r="Q4" s="17" t="s">
        <v>25</v>
      </c>
      <c r="R4" s="17" t="s">
        <v>26</v>
      </c>
      <c r="S4" s="17" t="s">
        <v>27</v>
      </c>
      <c r="T4" s="17" t="s">
        <v>28</v>
      </c>
      <c r="U4" s="16" t="s">
        <v>6</v>
      </c>
      <c r="V4" s="17" t="s">
        <v>29</v>
      </c>
      <c r="W4" s="17" t="s">
        <v>30</v>
      </c>
      <c r="X4" s="17" t="s">
        <v>31</v>
      </c>
      <c r="Y4" s="17" t="s">
        <v>32</v>
      </c>
      <c r="Z4" s="17" t="s">
        <v>15</v>
      </c>
      <c r="AA4" s="13" t="s">
        <v>16</v>
      </c>
    </row>
    <row r="5" spans="1:27" ht="12.75" customHeight="1" x14ac:dyDescent="0.3">
      <c r="A5" s="2" t="str">
        <f>"-1-"</f>
        <v>-1-</v>
      </c>
      <c r="B5" s="2" t="str">
        <f>"-2-"</f>
        <v>-2-</v>
      </c>
      <c r="C5" s="2" t="str">
        <f>"-3-"</f>
        <v>-3-</v>
      </c>
      <c r="D5" s="2" t="str">
        <f>"-4-"</f>
        <v>-4-</v>
      </c>
      <c r="E5" s="2" t="str">
        <f>"-5-"</f>
        <v>-5-</v>
      </c>
      <c r="F5" s="2" t="str">
        <f>"-6-"</f>
        <v>-6-</v>
      </c>
      <c r="G5" s="2" t="str">
        <f>"-7-"</f>
        <v>-7-</v>
      </c>
      <c r="H5" s="2" t="str">
        <f>"-8-"</f>
        <v>-8-</v>
      </c>
      <c r="I5" s="2" t="str">
        <f>"-9-"</f>
        <v>-9-</v>
      </c>
      <c r="J5" s="2" t="str">
        <f>"-10-"</f>
        <v>-10-</v>
      </c>
      <c r="K5" s="2" t="str">
        <f>"-11-"</f>
        <v>-11-</v>
      </c>
      <c r="L5" s="2" t="str">
        <f>"-12-"</f>
        <v>-12-</v>
      </c>
      <c r="M5" s="2" t="str">
        <f>"-13-"</f>
        <v>-13-</v>
      </c>
      <c r="N5" s="2" t="str">
        <f>"-14-"</f>
        <v>-14-</v>
      </c>
      <c r="O5" s="2" t="str">
        <f>"-15-"</f>
        <v>-15-</v>
      </c>
      <c r="P5" s="2" t="str">
        <f>"-16-"</f>
        <v>-16-</v>
      </c>
      <c r="Q5" s="2" t="str">
        <f>"-17-"</f>
        <v>-17-</v>
      </c>
      <c r="R5" s="2" t="str">
        <f>"-18-"</f>
        <v>-18-</v>
      </c>
      <c r="S5" s="2" t="str">
        <f>"-19-"</f>
        <v>-19-</v>
      </c>
      <c r="T5" s="2" t="str">
        <f>"-20-"</f>
        <v>-20-</v>
      </c>
      <c r="U5" s="2" t="str">
        <f>"-21-"</f>
        <v>-21-</v>
      </c>
      <c r="V5" s="14" t="str">
        <f>"-22-"</f>
        <v>-22-</v>
      </c>
      <c r="W5" s="2" t="str">
        <f>"-23-"</f>
        <v>-23-</v>
      </c>
      <c r="X5" s="2" t="str">
        <f>"-24-"</f>
        <v>-24-</v>
      </c>
      <c r="Y5" s="2" t="str">
        <f>"-25-"</f>
        <v>-25-</v>
      </c>
      <c r="Z5" s="2" t="str">
        <f>"-26-"</f>
        <v>-26-</v>
      </c>
      <c r="AA5" s="2" t="str">
        <f>"-27-"</f>
        <v>-27-</v>
      </c>
    </row>
    <row r="6" spans="1:27" ht="22.2" customHeight="1" x14ac:dyDescent="0.3">
      <c r="A6" s="2" t="s">
        <v>36</v>
      </c>
      <c r="B6" s="2" t="s">
        <v>52</v>
      </c>
      <c r="C6" s="2">
        <v>8</v>
      </c>
      <c r="D6" s="3" t="s">
        <v>4</v>
      </c>
      <c r="E6" s="4">
        <v>25168</v>
      </c>
      <c r="F6" s="4">
        <v>0</v>
      </c>
      <c r="G6" s="4">
        <v>6912</v>
      </c>
      <c r="H6" s="4">
        <v>0</v>
      </c>
      <c r="I6" s="4">
        <v>32080</v>
      </c>
      <c r="J6" s="4">
        <v>24</v>
      </c>
      <c r="K6" s="4" t="s">
        <v>4</v>
      </c>
      <c r="L6" s="5" t="s">
        <v>37</v>
      </c>
      <c r="M6" s="18"/>
      <c r="N6" s="6" t="str">
        <f t="shared" ref="N6:P7" si="0">IF(ROUND(M6,3)=0,"",ROUND(M6,3)+0.39)</f>
        <v/>
      </c>
      <c r="O6" s="18"/>
      <c r="P6" s="6" t="str">
        <f t="shared" si="0"/>
        <v/>
      </c>
      <c r="Q6" s="19"/>
      <c r="R6" s="7" t="str">
        <f>IFERROR(IF(ROUND(M6,3)&gt;0,ROUND(E6*ROUND(M6,3)/100+F6*N6/100
+G6*ROUND(O6,3)/100+H6*P6/100
+ROUND(Q6,2)*J6*C6,2),""),"")</f>
        <v/>
      </c>
      <c r="S6" s="8">
        <v>4.3099999999999996</v>
      </c>
      <c r="T6" s="7">
        <f t="shared" ref="T6:T7" si="1">ROUND(IF(D6="nd.",C6*S6*J6,(K6*24*D6*S6)/100),2)</f>
        <v>827.52</v>
      </c>
      <c r="U6" s="8">
        <v>6.524</v>
      </c>
      <c r="V6" s="7">
        <f t="shared" ref="V6:V7" si="2">ROUND(U6*I6/100,2)</f>
        <v>2092.9</v>
      </c>
      <c r="W6" s="7">
        <f t="shared" ref="W6:W7" si="3">T6+V6</f>
        <v>2920.42</v>
      </c>
      <c r="X6" s="7" t="str">
        <f t="shared" ref="X6:X7" si="4">IF(M6&gt;0,R6+W6,"")</f>
        <v/>
      </c>
      <c r="Y6" s="7" t="str">
        <f t="shared" ref="Y6:Y7" si="5">IF(M6&gt;0,ROUND(X6*(1+Z6),2),"")</f>
        <v/>
      </c>
      <c r="Z6" s="15">
        <f>23%</f>
        <v>0.23</v>
      </c>
      <c r="AA6" s="14" t="s">
        <v>43</v>
      </c>
    </row>
    <row r="7" spans="1:27" ht="22.2" customHeight="1" x14ac:dyDescent="0.3">
      <c r="A7" s="2" t="s">
        <v>36</v>
      </c>
      <c r="B7" s="2" t="s">
        <v>53</v>
      </c>
      <c r="C7" s="2">
        <v>2</v>
      </c>
      <c r="D7" s="3" t="s">
        <v>4</v>
      </c>
      <c r="E7" s="4">
        <v>1407</v>
      </c>
      <c r="F7" s="4">
        <v>0</v>
      </c>
      <c r="G7" s="4">
        <v>0</v>
      </c>
      <c r="H7" s="4">
        <v>0</v>
      </c>
      <c r="I7" s="4">
        <v>1407</v>
      </c>
      <c r="J7" s="4">
        <v>21</v>
      </c>
      <c r="K7" s="4" t="s">
        <v>4</v>
      </c>
      <c r="L7" s="5" t="s">
        <v>37</v>
      </c>
      <c r="M7" s="18"/>
      <c r="N7" s="6" t="str">
        <f t="shared" si="0"/>
        <v/>
      </c>
      <c r="O7" s="18"/>
      <c r="P7" s="6" t="str">
        <f t="shared" si="0"/>
        <v/>
      </c>
      <c r="Q7" s="19"/>
      <c r="R7" s="7" t="str">
        <f t="shared" ref="R7" si="6">IFERROR(IF(ROUND(M7,3)&gt;0,ROUND(E7*ROUND(M7,3)/100+F7*N7/100
+G7*ROUND(O7,3)/100+H7*P7/100
+ROUND(Q7,2)*J7*C7,2),""),"")</f>
        <v/>
      </c>
      <c r="S7" s="8">
        <v>4.3099999999999996</v>
      </c>
      <c r="T7" s="7">
        <f t="shared" si="1"/>
        <v>181.02</v>
      </c>
      <c r="U7" s="8">
        <v>6.524</v>
      </c>
      <c r="V7" s="7">
        <f t="shared" si="2"/>
        <v>91.79</v>
      </c>
      <c r="W7" s="7">
        <f t="shared" si="3"/>
        <v>272.81</v>
      </c>
      <c r="X7" s="7" t="str">
        <f t="shared" si="4"/>
        <v/>
      </c>
      <c r="Y7" s="7" t="str">
        <f t="shared" si="5"/>
        <v/>
      </c>
      <c r="Z7" s="15">
        <f>23%</f>
        <v>0.23</v>
      </c>
      <c r="AA7" s="14" t="s">
        <v>44</v>
      </c>
    </row>
    <row r="8" spans="1:27" ht="22.2" customHeight="1" x14ac:dyDescent="0.3">
      <c r="A8" s="2" t="s">
        <v>36</v>
      </c>
      <c r="B8" s="2" t="s">
        <v>53</v>
      </c>
      <c r="C8" s="2">
        <v>29</v>
      </c>
      <c r="D8" s="3" t="s">
        <v>4</v>
      </c>
      <c r="E8" s="4">
        <v>95312</v>
      </c>
      <c r="F8" s="4">
        <v>0</v>
      </c>
      <c r="G8" s="4">
        <v>3360</v>
      </c>
      <c r="H8" s="4">
        <v>0</v>
      </c>
      <c r="I8" s="4">
        <v>98672</v>
      </c>
      <c r="J8" s="4">
        <v>24</v>
      </c>
      <c r="K8" s="4" t="s">
        <v>4</v>
      </c>
      <c r="L8" s="5" t="s">
        <v>37</v>
      </c>
      <c r="M8" s="18"/>
      <c r="N8" s="6" t="str">
        <f t="shared" ref="N8" si="7">IF(ROUND(M8,3)=0,"",ROUND(M8,3)+0.39)</f>
        <v/>
      </c>
      <c r="O8" s="18"/>
      <c r="P8" s="6" t="str">
        <f t="shared" ref="P8" si="8">IF(ROUND(O8,3)=0,"",ROUND(O8,3)+0.39)</f>
        <v/>
      </c>
      <c r="Q8" s="19"/>
      <c r="R8" s="7" t="str">
        <f t="shared" ref="R8" si="9">IFERROR(IF(ROUND(M8,3)&gt;0,ROUND(E8*ROUND(M8,3)/100+F8*N8/100
+G8*ROUND(O8,3)/100+H8*P8/100
+ROUND(Q8,2)*J8*C8,2),""),"")</f>
        <v/>
      </c>
      <c r="S8" s="8">
        <v>4.3099999999999996</v>
      </c>
      <c r="T8" s="7">
        <f t="shared" ref="T8" si="10">ROUND(IF(D8="nd.",C8*S8*J8,(K8*24*D8*S8)/100),2)</f>
        <v>2999.76</v>
      </c>
      <c r="U8" s="8">
        <v>6.524</v>
      </c>
      <c r="V8" s="7">
        <f t="shared" ref="V8" si="11">ROUND(U8*I8/100,2)</f>
        <v>6437.36</v>
      </c>
      <c r="W8" s="7">
        <f t="shared" ref="W8" si="12">T8+V8</f>
        <v>9437.119999999999</v>
      </c>
      <c r="X8" s="7" t="str">
        <f t="shared" ref="X8" si="13">IF(M8&gt;0,R8+W8,"")</f>
        <v/>
      </c>
      <c r="Y8" s="7" t="str">
        <f t="shared" ref="Y8" si="14">IF(M8&gt;0,ROUND(X8*(1+Z8),2),"")</f>
        <v/>
      </c>
      <c r="Z8" s="15">
        <f>23%</f>
        <v>0.23</v>
      </c>
      <c r="AA8" s="14" t="s">
        <v>43</v>
      </c>
    </row>
    <row r="9" spans="1:27" ht="22.2" customHeight="1" x14ac:dyDescent="0.3">
      <c r="A9" s="2" t="s">
        <v>38</v>
      </c>
      <c r="B9" s="2" t="s">
        <v>54</v>
      </c>
      <c r="C9" s="2">
        <v>2</v>
      </c>
      <c r="D9" s="3" t="s">
        <v>4</v>
      </c>
      <c r="E9" s="4">
        <v>15183</v>
      </c>
      <c r="F9" s="4">
        <v>0</v>
      </c>
      <c r="G9" s="4">
        <v>0</v>
      </c>
      <c r="H9" s="4">
        <v>0</v>
      </c>
      <c r="I9" s="4">
        <v>15183</v>
      </c>
      <c r="J9" s="4">
        <v>21</v>
      </c>
      <c r="K9" s="4" t="s">
        <v>4</v>
      </c>
      <c r="L9" s="5" t="s">
        <v>37</v>
      </c>
      <c r="M9" s="18"/>
      <c r="N9" s="6" t="str">
        <f t="shared" ref="N9:N17" si="15">IF(ROUND(M9,3)=0,"",ROUND(M9,3)+0.39)</f>
        <v/>
      </c>
      <c r="O9" s="18"/>
      <c r="P9" s="6" t="str">
        <f t="shared" ref="P9:P17" si="16">IF(ROUND(O9,3)=0,"",ROUND(O9,3)+0.39)</f>
        <v/>
      </c>
      <c r="Q9" s="19"/>
      <c r="R9" s="7" t="str">
        <f t="shared" ref="R9:R17" si="17">IFERROR(IF(ROUND(M9,3)&gt;0,ROUND(E9*ROUND(M9,3)/100+F9*N9/100
+G9*ROUND(O9,3)/100+H9*P9/100
+ROUND(Q9,2)*J9*C9,2),""),"")</f>
        <v/>
      </c>
      <c r="S9" s="8">
        <v>10.97</v>
      </c>
      <c r="T9" s="7">
        <f t="shared" ref="T9:T17" si="18">ROUND(IF(D9="nd.",C9*S9*J9,(K9*24*D9*S9)/100),2)</f>
        <v>460.74</v>
      </c>
      <c r="U9" s="8">
        <v>4.7450000000000001</v>
      </c>
      <c r="V9" s="7">
        <f t="shared" ref="V9:V17" si="19">ROUND(U9*I9/100,2)</f>
        <v>720.43</v>
      </c>
      <c r="W9" s="7">
        <f t="shared" ref="W9:W17" si="20">T9+V9</f>
        <v>1181.17</v>
      </c>
      <c r="X9" s="7" t="str">
        <f t="shared" ref="X9:X17" si="21">IF(M9&gt;0,R9+W9,"")</f>
        <v/>
      </c>
      <c r="Y9" s="7" t="str">
        <f t="shared" ref="Y9:Y17" si="22">IF(M9&gt;0,ROUND(X9*(1+Z9),2),"")</f>
        <v/>
      </c>
      <c r="Z9" s="15">
        <f>23%</f>
        <v>0.23</v>
      </c>
      <c r="AA9" s="14" t="s">
        <v>44</v>
      </c>
    </row>
    <row r="10" spans="1:27" ht="22.2" customHeight="1" x14ac:dyDescent="0.3">
      <c r="A10" s="2" t="s">
        <v>38</v>
      </c>
      <c r="B10" s="2" t="s">
        <v>54</v>
      </c>
      <c r="C10" s="2">
        <v>8</v>
      </c>
      <c r="D10" s="3" t="s">
        <v>4</v>
      </c>
      <c r="E10" s="4">
        <v>104312</v>
      </c>
      <c r="F10" s="4">
        <v>0</v>
      </c>
      <c r="G10" s="4">
        <v>31468</v>
      </c>
      <c r="H10" s="4">
        <v>9792</v>
      </c>
      <c r="I10" s="4">
        <v>145572</v>
      </c>
      <c r="J10" s="4">
        <v>24</v>
      </c>
      <c r="K10" s="4" t="s">
        <v>4</v>
      </c>
      <c r="L10" s="5" t="s">
        <v>37</v>
      </c>
      <c r="M10" s="18"/>
      <c r="N10" s="6" t="str">
        <f t="shared" si="15"/>
        <v/>
      </c>
      <c r="O10" s="18"/>
      <c r="P10" s="6" t="str">
        <f t="shared" si="16"/>
        <v/>
      </c>
      <c r="Q10" s="19"/>
      <c r="R10" s="7" t="str">
        <f t="shared" si="17"/>
        <v/>
      </c>
      <c r="S10" s="8">
        <v>10.97</v>
      </c>
      <c r="T10" s="7">
        <f t="shared" si="18"/>
        <v>2106.2399999999998</v>
      </c>
      <c r="U10" s="8">
        <v>4.7450000000000001</v>
      </c>
      <c r="V10" s="7">
        <f t="shared" si="19"/>
        <v>6907.39</v>
      </c>
      <c r="W10" s="7">
        <f t="shared" si="20"/>
        <v>9013.630000000001</v>
      </c>
      <c r="X10" s="7" t="str">
        <f t="shared" si="21"/>
        <v/>
      </c>
      <c r="Y10" s="7" t="str">
        <f t="shared" si="22"/>
        <v/>
      </c>
      <c r="Z10" s="15">
        <f>23%</f>
        <v>0.23</v>
      </c>
      <c r="AA10" s="14" t="s">
        <v>43</v>
      </c>
    </row>
    <row r="11" spans="1:27" ht="22.2" customHeight="1" x14ac:dyDescent="0.3">
      <c r="A11" s="2" t="s">
        <v>38</v>
      </c>
      <c r="B11" s="2" t="s">
        <v>55</v>
      </c>
      <c r="C11" s="2">
        <v>1</v>
      </c>
      <c r="D11" s="3" t="s">
        <v>4</v>
      </c>
      <c r="E11" s="4">
        <v>18464</v>
      </c>
      <c r="F11" s="4">
        <v>0</v>
      </c>
      <c r="G11" s="4">
        <v>0</v>
      </c>
      <c r="H11" s="4">
        <v>0</v>
      </c>
      <c r="I11" s="4">
        <v>18464</v>
      </c>
      <c r="J11" s="4">
        <v>21</v>
      </c>
      <c r="K11" s="4" t="s">
        <v>4</v>
      </c>
      <c r="L11" s="5" t="s">
        <v>37</v>
      </c>
      <c r="M11" s="18"/>
      <c r="N11" s="6" t="str">
        <f t="shared" si="15"/>
        <v/>
      </c>
      <c r="O11" s="18"/>
      <c r="P11" s="6" t="str">
        <f t="shared" si="16"/>
        <v/>
      </c>
      <c r="Q11" s="19"/>
      <c r="R11" s="7" t="str">
        <f t="shared" si="17"/>
        <v/>
      </c>
      <c r="S11" s="8">
        <v>10.97</v>
      </c>
      <c r="T11" s="7">
        <f t="shared" si="18"/>
        <v>230.37</v>
      </c>
      <c r="U11" s="8">
        <v>4.7450000000000001</v>
      </c>
      <c r="V11" s="7">
        <f t="shared" si="19"/>
        <v>876.12</v>
      </c>
      <c r="W11" s="7">
        <f t="shared" si="20"/>
        <v>1106.49</v>
      </c>
      <c r="X11" s="7" t="str">
        <f t="shared" si="21"/>
        <v/>
      </c>
      <c r="Y11" s="7" t="str">
        <f t="shared" si="22"/>
        <v/>
      </c>
      <c r="Z11" s="15">
        <f>23%</f>
        <v>0.23</v>
      </c>
      <c r="AA11" s="14" t="s">
        <v>44</v>
      </c>
    </row>
    <row r="12" spans="1:27" ht="22.2" customHeight="1" x14ac:dyDescent="0.3">
      <c r="A12" s="2" t="s">
        <v>38</v>
      </c>
      <c r="B12" s="2" t="s">
        <v>55</v>
      </c>
      <c r="C12" s="2">
        <v>38</v>
      </c>
      <c r="D12" s="3" t="s">
        <v>4</v>
      </c>
      <c r="E12" s="4">
        <v>558663</v>
      </c>
      <c r="F12" s="4">
        <v>0</v>
      </c>
      <c r="G12" s="4">
        <v>70251</v>
      </c>
      <c r="H12" s="4">
        <v>20376</v>
      </c>
      <c r="I12" s="4">
        <v>649290</v>
      </c>
      <c r="J12" s="4">
        <v>24</v>
      </c>
      <c r="K12" s="4" t="s">
        <v>4</v>
      </c>
      <c r="L12" s="5" t="s">
        <v>37</v>
      </c>
      <c r="M12" s="18"/>
      <c r="N12" s="6" t="str">
        <f t="shared" si="15"/>
        <v/>
      </c>
      <c r="O12" s="18"/>
      <c r="P12" s="6" t="str">
        <f t="shared" si="16"/>
        <v/>
      </c>
      <c r="Q12" s="19"/>
      <c r="R12" s="7" t="str">
        <f t="shared" si="17"/>
        <v/>
      </c>
      <c r="S12" s="8">
        <v>10.97</v>
      </c>
      <c r="T12" s="7">
        <f t="shared" si="18"/>
        <v>10004.64</v>
      </c>
      <c r="U12" s="8">
        <v>4.7450000000000001</v>
      </c>
      <c r="V12" s="7">
        <f t="shared" si="19"/>
        <v>30808.81</v>
      </c>
      <c r="W12" s="7">
        <f t="shared" si="20"/>
        <v>40813.449999999997</v>
      </c>
      <c r="X12" s="7" t="str">
        <f t="shared" si="21"/>
        <v/>
      </c>
      <c r="Y12" s="7" t="str">
        <f t="shared" si="22"/>
        <v/>
      </c>
      <c r="Z12" s="15">
        <f>23%</f>
        <v>0.23</v>
      </c>
      <c r="AA12" s="14" t="s">
        <v>43</v>
      </c>
    </row>
    <row r="13" spans="1:27" ht="22.2" customHeight="1" x14ac:dyDescent="0.3">
      <c r="A13" s="2" t="s">
        <v>39</v>
      </c>
      <c r="B13" s="2" t="s">
        <v>56</v>
      </c>
      <c r="C13" s="2">
        <v>1</v>
      </c>
      <c r="D13" s="3" t="s">
        <v>4</v>
      </c>
      <c r="E13" s="4">
        <v>0</v>
      </c>
      <c r="F13" s="4">
        <v>0</v>
      </c>
      <c r="G13" s="4">
        <v>0</v>
      </c>
      <c r="H13" s="4">
        <v>43065</v>
      </c>
      <c r="I13" s="4">
        <v>43065</v>
      </c>
      <c r="J13" s="4">
        <v>21</v>
      </c>
      <c r="K13" s="4" t="s">
        <v>4</v>
      </c>
      <c r="L13" s="5" t="s">
        <v>37</v>
      </c>
      <c r="M13" s="18"/>
      <c r="N13" s="6" t="str">
        <f t="shared" si="15"/>
        <v/>
      </c>
      <c r="O13" s="18"/>
      <c r="P13" s="6" t="str">
        <f t="shared" si="16"/>
        <v/>
      </c>
      <c r="Q13" s="19"/>
      <c r="R13" s="7" t="str">
        <f t="shared" si="17"/>
        <v/>
      </c>
      <c r="S13" s="8">
        <v>42.35</v>
      </c>
      <c r="T13" s="7">
        <f t="shared" si="18"/>
        <v>889.35</v>
      </c>
      <c r="U13" s="8">
        <v>3.5569999999999999</v>
      </c>
      <c r="V13" s="7">
        <f t="shared" si="19"/>
        <v>1531.82</v>
      </c>
      <c r="W13" s="7">
        <f t="shared" si="20"/>
        <v>2421.17</v>
      </c>
      <c r="X13" s="7" t="str">
        <f t="shared" si="21"/>
        <v/>
      </c>
      <c r="Y13" s="7" t="str">
        <f t="shared" si="22"/>
        <v/>
      </c>
      <c r="Z13" s="15">
        <f>23%</f>
        <v>0.23</v>
      </c>
      <c r="AA13" s="14" t="s">
        <v>44</v>
      </c>
    </row>
    <row r="14" spans="1:27" ht="22.2" customHeight="1" x14ac:dyDescent="0.3">
      <c r="A14" s="2" t="s">
        <v>39</v>
      </c>
      <c r="B14" s="2" t="s">
        <v>56</v>
      </c>
      <c r="C14" s="2">
        <v>16</v>
      </c>
      <c r="D14" s="3" t="s">
        <v>4</v>
      </c>
      <c r="E14" s="4">
        <v>672484</v>
      </c>
      <c r="F14" s="4">
        <v>0</v>
      </c>
      <c r="G14" s="4">
        <v>403120</v>
      </c>
      <c r="H14" s="4">
        <v>415156</v>
      </c>
      <c r="I14" s="4">
        <v>1490760</v>
      </c>
      <c r="J14" s="4">
        <v>24</v>
      </c>
      <c r="K14" s="4" t="s">
        <v>4</v>
      </c>
      <c r="L14" s="5" t="s">
        <v>37</v>
      </c>
      <c r="M14" s="18"/>
      <c r="N14" s="6" t="str">
        <f t="shared" si="15"/>
        <v/>
      </c>
      <c r="O14" s="18"/>
      <c r="P14" s="6" t="str">
        <f t="shared" si="16"/>
        <v/>
      </c>
      <c r="Q14" s="19"/>
      <c r="R14" s="7" t="str">
        <f t="shared" si="17"/>
        <v/>
      </c>
      <c r="S14" s="8">
        <v>42.35</v>
      </c>
      <c r="T14" s="7">
        <f t="shared" si="18"/>
        <v>16262.4</v>
      </c>
      <c r="U14" s="8">
        <v>3.5569999999999999</v>
      </c>
      <c r="V14" s="7">
        <f t="shared" si="19"/>
        <v>53026.33</v>
      </c>
      <c r="W14" s="7">
        <f t="shared" si="20"/>
        <v>69288.73</v>
      </c>
      <c r="X14" s="7" t="str">
        <f t="shared" si="21"/>
        <v/>
      </c>
      <c r="Y14" s="7" t="str">
        <f t="shared" si="22"/>
        <v/>
      </c>
      <c r="Z14" s="15">
        <f>23%</f>
        <v>0.23</v>
      </c>
      <c r="AA14" s="14" t="s">
        <v>43</v>
      </c>
    </row>
    <row r="15" spans="1:27" ht="22.2" customHeight="1" x14ac:dyDescent="0.3">
      <c r="A15" s="2" t="s">
        <v>39</v>
      </c>
      <c r="B15" s="2" t="s">
        <v>57</v>
      </c>
      <c r="C15" s="2">
        <v>4</v>
      </c>
      <c r="D15" s="3" t="s">
        <v>4</v>
      </c>
      <c r="E15" s="4">
        <v>256974</v>
      </c>
      <c r="F15" s="4">
        <v>0</v>
      </c>
      <c r="G15" s="4">
        <v>0</v>
      </c>
      <c r="H15" s="4">
        <v>0</v>
      </c>
      <c r="I15" s="4">
        <v>256974</v>
      </c>
      <c r="J15" s="4">
        <v>21</v>
      </c>
      <c r="K15" s="4" t="s">
        <v>4</v>
      </c>
      <c r="L15" s="5" t="s">
        <v>37</v>
      </c>
      <c r="M15" s="18"/>
      <c r="N15" s="6" t="str">
        <f t="shared" si="15"/>
        <v/>
      </c>
      <c r="O15" s="18"/>
      <c r="P15" s="6" t="str">
        <f t="shared" si="16"/>
        <v/>
      </c>
      <c r="Q15" s="19"/>
      <c r="R15" s="7" t="str">
        <f t="shared" si="17"/>
        <v/>
      </c>
      <c r="S15" s="8">
        <v>42.35</v>
      </c>
      <c r="T15" s="7">
        <f t="shared" si="18"/>
        <v>3557.4</v>
      </c>
      <c r="U15" s="8">
        <v>3.5569999999999999</v>
      </c>
      <c r="V15" s="7">
        <f t="shared" si="19"/>
        <v>9140.57</v>
      </c>
      <c r="W15" s="7">
        <f t="shared" si="20"/>
        <v>12697.97</v>
      </c>
      <c r="X15" s="7" t="str">
        <f t="shared" si="21"/>
        <v/>
      </c>
      <c r="Y15" s="7" t="str">
        <f t="shared" si="22"/>
        <v/>
      </c>
      <c r="Z15" s="15">
        <f>23%</f>
        <v>0.23</v>
      </c>
      <c r="AA15" s="14" t="s">
        <v>44</v>
      </c>
    </row>
    <row r="16" spans="1:27" ht="22.2" customHeight="1" x14ac:dyDescent="0.3">
      <c r="A16" s="2" t="s">
        <v>39</v>
      </c>
      <c r="B16" s="2" t="s">
        <v>57</v>
      </c>
      <c r="C16" s="2">
        <v>87</v>
      </c>
      <c r="D16" s="3" t="s">
        <v>4</v>
      </c>
      <c r="E16" s="4">
        <v>5185664</v>
      </c>
      <c r="F16" s="4">
        <v>0</v>
      </c>
      <c r="G16" s="4">
        <v>1812112</v>
      </c>
      <c r="H16" s="4">
        <v>27610</v>
      </c>
      <c r="I16" s="4">
        <v>7025386</v>
      </c>
      <c r="J16" s="4">
        <v>24</v>
      </c>
      <c r="K16" s="4" t="s">
        <v>4</v>
      </c>
      <c r="L16" s="5" t="s">
        <v>37</v>
      </c>
      <c r="M16" s="18"/>
      <c r="N16" s="6" t="str">
        <f t="shared" si="15"/>
        <v/>
      </c>
      <c r="O16" s="18"/>
      <c r="P16" s="6" t="str">
        <f t="shared" si="16"/>
        <v/>
      </c>
      <c r="Q16" s="19"/>
      <c r="R16" s="7" t="str">
        <f t="shared" si="17"/>
        <v/>
      </c>
      <c r="S16" s="8">
        <v>42.35</v>
      </c>
      <c r="T16" s="7">
        <f t="shared" si="18"/>
        <v>88426.8</v>
      </c>
      <c r="U16" s="8">
        <v>3.5569999999999999</v>
      </c>
      <c r="V16" s="7">
        <f t="shared" si="19"/>
        <v>249892.98</v>
      </c>
      <c r="W16" s="7">
        <f t="shared" si="20"/>
        <v>338319.78</v>
      </c>
      <c r="X16" s="7" t="str">
        <f t="shared" si="21"/>
        <v/>
      </c>
      <c r="Y16" s="7" t="str">
        <f t="shared" si="22"/>
        <v/>
      </c>
      <c r="Z16" s="15">
        <f>23%</f>
        <v>0.23</v>
      </c>
      <c r="AA16" s="14" t="s">
        <v>43</v>
      </c>
    </row>
    <row r="17" spans="1:27" ht="22.2" customHeight="1" x14ac:dyDescent="0.3">
      <c r="A17" s="2" t="s">
        <v>40</v>
      </c>
      <c r="B17" s="2" t="s">
        <v>58</v>
      </c>
      <c r="C17" s="2">
        <v>1</v>
      </c>
      <c r="D17" s="3" t="s">
        <v>4</v>
      </c>
      <c r="E17" s="4">
        <v>0</v>
      </c>
      <c r="F17" s="4">
        <v>0</v>
      </c>
      <c r="G17" s="4">
        <v>95628</v>
      </c>
      <c r="H17" s="4">
        <v>0</v>
      </c>
      <c r="I17" s="4">
        <v>95628</v>
      </c>
      <c r="J17" s="4">
        <v>24</v>
      </c>
      <c r="K17" s="4" t="s">
        <v>4</v>
      </c>
      <c r="L17" s="5" t="s">
        <v>37</v>
      </c>
      <c r="M17" s="18"/>
      <c r="N17" s="6" t="str">
        <f t="shared" si="15"/>
        <v/>
      </c>
      <c r="O17" s="18"/>
      <c r="P17" s="6" t="str">
        <f t="shared" si="16"/>
        <v/>
      </c>
      <c r="Q17" s="19"/>
      <c r="R17" s="7" t="str">
        <f t="shared" si="17"/>
        <v/>
      </c>
      <c r="S17" s="8">
        <v>45.49</v>
      </c>
      <c r="T17" s="7">
        <f t="shared" si="18"/>
        <v>1091.76</v>
      </c>
      <c r="U17" s="8">
        <v>3.5569999999999999</v>
      </c>
      <c r="V17" s="7">
        <f t="shared" si="19"/>
        <v>3401.49</v>
      </c>
      <c r="W17" s="7">
        <f t="shared" si="20"/>
        <v>4493.25</v>
      </c>
      <c r="X17" s="7" t="str">
        <f t="shared" si="21"/>
        <v/>
      </c>
      <c r="Y17" s="7" t="str">
        <f t="shared" si="22"/>
        <v/>
      </c>
      <c r="Z17" s="15">
        <f>23%</f>
        <v>0.23</v>
      </c>
      <c r="AA17" s="14" t="s">
        <v>43</v>
      </c>
    </row>
    <row r="18" spans="1:27" ht="22.2" customHeight="1" x14ac:dyDescent="0.3">
      <c r="A18" s="2" t="s">
        <v>41</v>
      </c>
      <c r="B18" s="2" t="s">
        <v>59</v>
      </c>
      <c r="C18" s="2">
        <v>3</v>
      </c>
      <c r="D18" s="3" t="s">
        <v>4</v>
      </c>
      <c r="E18" s="4">
        <v>824043</v>
      </c>
      <c r="F18" s="4">
        <v>0</v>
      </c>
      <c r="G18" s="4">
        <v>0</v>
      </c>
      <c r="H18" s="4">
        <v>0</v>
      </c>
      <c r="I18" s="4">
        <v>824043</v>
      </c>
      <c r="J18" s="4">
        <v>21</v>
      </c>
      <c r="K18" s="4" t="s">
        <v>4</v>
      </c>
      <c r="L18" s="5" t="s">
        <v>37</v>
      </c>
      <c r="M18" s="18"/>
      <c r="N18" s="6" t="str">
        <f t="shared" ref="N18:N19" si="23">IF(ROUND(M18,3)=0,"",ROUND(M18,3)+0.39)</f>
        <v/>
      </c>
      <c r="O18" s="18"/>
      <c r="P18" s="6" t="str">
        <f t="shared" ref="P18:P19" si="24">IF(ROUND(O18,3)=0,"",ROUND(O18,3)+0.39)</f>
        <v/>
      </c>
      <c r="Q18" s="19"/>
      <c r="R18" s="7" t="str">
        <f t="shared" ref="R18:R19" si="25">IFERROR(IF(ROUND(M18,3)&gt;0,ROUND(E18*ROUND(M18,3)/100+F18*N18/100
+G18*ROUND(O18,3)/100+H18*P18/100
+ROUND(Q18,2)*J18*C18,2),""),"")</f>
        <v/>
      </c>
      <c r="S18" s="8">
        <v>236.57</v>
      </c>
      <c r="T18" s="7">
        <f t="shared" ref="T18:T19" si="26">ROUND(IF(D18="nd.",C18*S18*J18,(K18*24*D18*S18)/100),2)</f>
        <v>14903.91</v>
      </c>
      <c r="U18" s="8">
        <v>3.4860000000000002</v>
      </c>
      <c r="V18" s="7">
        <f t="shared" ref="V18:V19" si="27">ROUND(U18*I18/100,2)</f>
        <v>28726.14</v>
      </c>
      <c r="W18" s="7">
        <f t="shared" ref="W18:W19" si="28">T18+V18</f>
        <v>43630.05</v>
      </c>
      <c r="X18" s="7" t="str">
        <f t="shared" ref="X18:X19" si="29">IF(M18&gt;0,R18+W18,"")</f>
        <v/>
      </c>
      <c r="Y18" s="7" t="str">
        <f t="shared" ref="Y18:Y19" si="30">IF(M18&gt;0,ROUND(X18*(1+Z18),2),"")</f>
        <v/>
      </c>
      <c r="Z18" s="15">
        <f>23%</f>
        <v>0.23</v>
      </c>
      <c r="AA18" s="14" t="s">
        <v>44</v>
      </c>
    </row>
    <row r="19" spans="1:27" ht="22.2" customHeight="1" x14ac:dyDescent="0.3">
      <c r="A19" s="2" t="s">
        <v>41</v>
      </c>
      <c r="B19" s="2" t="s">
        <v>59</v>
      </c>
      <c r="C19" s="2">
        <v>22</v>
      </c>
      <c r="D19" s="3" t="s">
        <v>4</v>
      </c>
      <c r="E19" s="4">
        <v>4675017</v>
      </c>
      <c r="F19" s="4">
        <v>0</v>
      </c>
      <c r="G19" s="4">
        <v>872929</v>
      </c>
      <c r="H19" s="4">
        <v>0</v>
      </c>
      <c r="I19" s="4">
        <v>5547946</v>
      </c>
      <c r="J19" s="4">
        <v>24</v>
      </c>
      <c r="K19" s="4" t="s">
        <v>4</v>
      </c>
      <c r="L19" s="5" t="s">
        <v>37</v>
      </c>
      <c r="M19" s="18"/>
      <c r="N19" s="6" t="str">
        <f t="shared" si="23"/>
        <v/>
      </c>
      <c r="O19" s="18"/>
      <c r="P19" s="6" t="str">
        <f t="shared" si="24"/>
        <v/>
      </c>
      <c r="Q19" s="19"/>
      <c r="R19" s="7" t="str">
        <f t="shared" si="25"/>
        <v/>
      </c>
      <c r="S19" s="8">
        <v>236.57</v>
      </c>
      <c r="T19" s="7">
        <f t="shared" si="26"/>
        <v>124908.96</v>
      </c>
      <c r="U19" s="8">
        <v>3.4860000000000002</v>
      </c>
      <c r="V19" s="7">
        <f t="shared" si="27"/>
        <v>193401.4</v>
      </c>
      <c r="W19" s="7">
        <f t="shared" si="28"/>
        <v>318310.36</v>
      </c>
      <c r="X19" s="7" t="str">
        <f t="shared" si="29"/>
        <v/>
      </c>
      <c r="Y19" s="7" t="str">
        <f t="shared" si="30"/>
        <v/>
      </c>
      <c r="Z19" s="15">
        <f>23%</f>
        <v>0.23</v>
      </c>
      <c r="AA19" s="14" t="s">
        <v>43</v>
      </c>
    </row>
    <row r="20" spans="1:27" ht="22.2" customHeight="1" x14ac:dyDescent="0.3">
      <c r="A20" s="2" t="s">
        <v>42</v>
      </c>
      <c r="B20" s="2" t="s">
        <v>60</v>
      </c>
      <c r="C20" s="2">
        <v>28</v>
      </c>
      <c r="D20" s="3">
        <v>5589</v>
      </c>
      <c r="E20" s="4">
        <v>12821940</v>
      </c>
      <c r="F20" s="4">
        <v>0</v>
      </c>
      <c r="G20" s="4">
        <v>1806996</v>
      </c>
      <c r="H20" s="4">
        <v>201530</v>
      </c>
      <c r="I20" s="4">
        <v>14830466</v>
      </c>
      <c r="J20" s="4">
        <v>24</v>
      </c>
      <c r="K20" s="4">
        <v>731</v>
      </c>
      <c r="L20" s="5" t="s">
        <v>37</v>
      </c>
      <c r="M20" s="18"/>
      <c r="N20" s="6" t="str">
        <f t="shared" ref="N20" si="31">IF(ROUND(M20,3)=0,"",ROUND(M20,3)+0.39)</f>
        <v/>
      </c>
      <c r="O20" s="18"/>
      <c r="P20" s="6" t="str">
        <f t="shared" ref="P20" si="32">IF(ROUND(O20,3)=0,"",ROUND(O20,3)+0.39)</f>
        <v/>
      </c>
      <c r="Q20" s="19"/>
      <c r="R20" s="7" t="str">
        <f t="shared" ref="R20" si="33">IFERROR(IF(ROUND(M20,3)&gt;0,ROUND(E20*ROUND(M20,3)/100+F20*N20/100
+G20*ROUND(O20,3)/100+H20*P20/100
+ROUND(Q20,2)*J20*C20,2),""),"")</f>
        <v/>
      </c>
      <c r="S20" s="8">
        <v>0.61299999999999999</v>
      </c>
      <c r="T20" s="7">
        <f t="shared" ref="T20" si="34">ROUND(IF(D20="nd.",C20*S20*J20,(K20*24*D20*S20)/100),2)</f>
        <v>601067.43999999994</v>
      </c>
      <c r="U20" s="8">
        <v>3.161</v>
      </c>
      <c r="V20" s="7">
        <f t="shared" ref="V20" si="35">ROUND(U20*I20/100,2)</f>
        <v>468791.03</v>
      </c>
      <c r="W20" s="7">
        <f t="shared" ref="W20" si="36">T20+V20</f>
        <v>1069858.47</v>
      </c>
      <c r="X20" s="7" t="str">
        <f t="shared" ref="X20" si="37">IF(M20&gt;0,R20+W20,"")</f>
        <v/>
      </c>
      <c r="Y20" s="7" t="str">
        <f t="shared" ref="Y20" si="38">IF(M20&gt;0,ROUND(X20*(1+Z20),2),"")</f>
        <v/>
      </c>
      <c r="Z20" s="15">
        <f>23%</f>
        <v>0.23</v>
      </c>
      <c r="AA20" s="14" t="s">
        <v>43</v>
      </c>
    </row>
    <row r="21" spans="1:27" ht="22.2" customHeight="1" x14ac:dyDescent="0.3">
      <c r="H21" s="11" t="s">
        <v>5</v>
      </c>
      <c r="I21" s="24">
        <f>IF(SUM(I6:I20)&gt;0,SUM(I6:I20),"")</f>
        <v>31074936</v>
      </c>
      <c r="W21" s="11" t="s">
        <v>5</v>
      </c>
      <c r="X21" s="7" t="str">
        <f>IF(SUM(X6:X20)&gt;0,SUM(X6:X20),"")</f>
        <v/>
      </c>
      <c r="Y21" s="7" t="str">
        <f>IF(SUM(Y6:Y20)&gt;0,SUM(Y6:Y20),"")</f>
        <v/>
      </c>
    </row>
    <row r="22" spans="1:27" ht="22.2" customHeight="1" x14ac:dyDescent="0.3">
      <c r="W22" s="11"/>
      <c r="X22" s="20"/>
      <c r="Y22" s="20"/>
    </row>
    <row r="23" spans="1:27" ht="14.4" customHeight="1" x14ac:dyDescent="0.3">
      <c r="A23" s="21" t="s">
        <v>46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</row>
    <row r="24" spans="1:27" ht="22.2" customHeight="1" x14ac:dyDescent="0.3">
      <c r="A24" s="25"/>
      <c r="B24" s="28"/>
      <c r="C24" s="25"/>
      <c r="D24" s="25"/>
      <c r="E24" s="27"/>
      <c r="F24" s="27"/>
      <c r="G24" s="27"/>
      <c r="H24" s="27"/>
      <c r="I24" s="27" t="s">
        <v>47</v>
      </c>
      <c r="J24" s="25"/>
      <c r="K24" s="25"/>
      <c r="L24" s="25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1" t="s">
        <v>11</v>
      </c>
      <c r="Y24" s="1" t="s">
        <v>12</v>
      </c>
      <c r="Z24" s="1"/>
      <c r="AA24" s="12"/>
    </row>
    <row r="25" spans="1:27" ht="76.8" customHeight="1" x14ac:dyDescent="0.3">
      <c r="A25" s="25"/>
      <c r="B25" s="29"/>
      <c r="C25" s="25"/>
      <c r="D25" s="25"/>
      <c r="E25" s="27"/>
      <c r="F25" s="27"/>
      <c r="G25" s="27"/>
      <c r="H25" s="27"/>
      <c r="I25" s="27"/>
      <c r="J25" s="25"/>
      <c r="K25" s="25"/>
      <c r="L25" s="25"/>
      <c r="M25" s="17"/>
      <c r="N25" s="16"/>
      <c r="O25" s="17"/>
      <c r="P25" s="16"/>
      <c r="Q25" s="17"/>
      <c r="R25" s="17"/>
      <c r="S25" s="17"/>
      <c r="T25" s="17"/>
      <c r="U25" s="16"/>
      <c r="V25" s="17"/>
      <c r="W25" s="17"/>
      <c r="X25" s="17" t="s">
        <v>48</v>
      </c>
      <c r="Y25" s="17" t="s">
        <v>32</v>
      </c>
      <c r="Z25" s="17" t="s">
        <v>15</v>
      </c>
      <c r="AA25" s="13" t="s">
        <v>16</v>
      </c>
    </row>
    <row r="26" spans="1:27" ht="12" customHeight="1" x14ac:dyDescent="0.3">
      <c r="A26" s="2" t="str">
        <f>"-1-"</f>
        <v>-1-</v>
      </c>
      <c r="B26" s="2" t="str">
        <f>"-2-"</f>
        <v>-2-</v>
      </c>
      <c r="C26" s="2" t="str">
        <f>"-3-"</f>
        <v>-3-</v>
      </c>
      <c r="D26" s="2" t="str">
        <f>"-4-"</f>
        <v>-4-</v>
      </c>
      <c r="E26" s="2" t="str">
        <f>"-5-"</f>
        <v>-5-</v>
      </c>
      <c r="F26" s="2" t="str">
        <f>"-6-"</f>
        <v>-6-</v>
      </c>
      <c r="G26" s="2" t="str">
        <f>"-7-"</f>
        <v>-7-</v>
      </c>
      <c r="H26" s="2" t="str">
        <f>"-8-"</f>
        <v>-8-</v>
      </c>
      <c r="I26" s="2" t="str">
        <f>"-9-"</f>
        <v>-9-</v>
      </c>
      <c r="J26" s="2" t="str">
        <f>"-10-"</f>
        <v>-10-</v>
      </c>
      <c r="K26" s="2" t="str">
        <f>"-11-"</f>
        <v>-11-</v>
      </c>
      <c r="L26" s="2" t="str">
        <f>"-12-"</f>
        <v>-12-</v>
      </c>
      <c r="M26" s="2" t="str">
        <f>"-13-"</f>
        <v>-13-</v>
      </c>
      <c r="N26" s="2" t="str">
        <f>"-14-"</f>
        <v>-14-</v>
      </c>
      <c r="O26" s="2" t="str">
        <f>"-15-"</f>
        <v>-15-</v>
      </c>
      <c r="P26" s="2" t="str">
        <f>"-16-"</f>
        <v>-16-</v>
      </c>
      <c r="Q26" s="2" t="str">
        <f>"-17-"</f>
        <v>-17-</v>
      </c>
      <c r="R26" s="2" t="str">
        <f>"-18-"</f>
        <v>-18-</v>
      </c>
      <c r="S26" s="2" t="str">
        <f>"-19-"</f>
        <v>-19-</v>
      </c>
      <c r="T26" s="2" t="str">
        <f>"-20-"</f>
        <v>-20-</v>
      </c>
      <c r="U26" s="2" t="str">
        <f>"-21-"</f>
        <v>-21-</v>
      </c>
      <c r="V26" s="14" t="str">
        <f>"-22-"</f>
        <v>-22-</v>
      </c>
      <c r="W26" s="2" t="str">
        <f>"-23-"</f>
        <v>-23-</v>
      </c>
      <c r="X26" s="2" t="str">
        <f>"-24-"</f>
        <v>-24-</v>
      </c>
      <c r="Y26" s="2" t="str">
        <f>"-25-"</f>
        <v>-25-</v>
      </c>
      <c r="Z26" s="2" t="str">
        <f>"-26-"</f>
        <v>-26-</v>
      </c>
      <c r="AA26" s="2" t="str">
        <f>"-27-"</f>
        <v>-27-</v>
      </c>
    </row>
    <row r="27" spans="1:27" ht="22.2" customHeight="1" x14ac:dyDescent="0.3">
      <c r="A27" s="23"/>
      <c r="B27" s="23"/>
      <c r="C27" s="23"/>
      <c r="D27" s="23"/>
      <c r="E27" s="23"/>
      <c r="F27" s="23"/>
      <c r="G27" s="23"/>
      <c r="H27" s="23"/>
      <c r="I27" s="24">
        <f>ROUND(I21*0.2,0)</f>
        <v>6214987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7" t="str">
        <f>IF(M6&gt;0,(X21/I21)*I27,"")</f>
        <v/>
      </c>
      <c r="Y27" s="7" t="str">
        <f>IF(M6&gt;0,ROUND(X27*(1+Z27),2),"")</f>
        <v/>
      </c>
      <c r="Z27" s="15">
        <f>23%</f>
        <v>0.23</v>
      </c>
      <c r="AA27" s="14" t="s">
        <v>43</v>
      </c>
    </row>
    <row r="28" spans="1:27" ht="22.2" customHeight="1" x14ac:dyDescent="0.3">
      <c r="W28" s="11"/>
      <c r="X28" s="20"/>
      <c r="Y28" s="20"/>
    </row>
    <row r="29" spans="1:27" ht="15.6" customHeight="1" x14ac:dyDescent="0.3">
      <c r="A29" s="21" t="s">
        <v>49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</row>
    <row r="30" spans="1:27" ht="22.2" customHeight="1" x14ac:dyDescent="0.3">
      <c r="A30" s="25"/>
      <c r="B30" s="28"/>
      <c r="C30" s="25"/>
      <c r="D30" s="25"/>
      <c r="E30" s="27"/>
      <c r="F30" s="27"/>
      <c r="G30" s="27"/>
      <c r="H30" s="27"/>
      <c r="I30" s="27" t="s">
        <v>51</v>
      </c>
      <c r="J30" s="25"/>
      <c r="K30" s="25"/>
      <c r="L30" s="25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1" t="s">
        <v>11</v>
      </c>
      <c r="Y30" s="1" t="s">
        <v>12</v>
      </c>
      <c r="Z30" s="1"/>
      <c r="AA30" s="12"/>
    </row>
    <row r="31" spans="1:27" ht="72" x14ac:dyDescent="0.3">
      <c r="A31" s="25"/>
      <c r="B31" s="29"/>
      <c r="C31" s="25"/>
      <c r="D31" s="25"/>
      <c r="E31" s="27"/>
      <c r="F31" s="27"/>
      <c r="G31" s="27"/>
      <c r="H31" s="27"/>
      <c r="I31" s="27"/>
      <c r="J31" s="25"/>
      <c r="K31" s="25"/>
      <c r="L31" s="25"/>
      <c r="M31" s="17"/>
      <c r="N31" s="16"/>
      <c r="O31" s="17"/>
      <c r="P31" s="16"/>
      <c r="Q31" s="17"/>
      <c r="R31" s="17"/>
      <c r="S31" s="17"/>
      <c r="T31" s="17"/>
      <c r="U31" s="16"/>
      <c r="V31" s="17"/>
      <c r="W31" s="17"/>
      <c r="X31" s="17" t="s">
        <v>50</v>
      </c>
      <c r="Y31" s="17" t="s">
        <v>32</v>
      </c>
      <c r="Z31" s="17" t="s">
        <v>15</v>
      </c>
      <c r="AA31" s="13" t="s">
        <v>16</v>
      </c>
    </row>
    <row r="32" spans="1:27" ht="12" customHeight="1" x14ac:dyDescent="0.3">
      <c r="A32" s="2" t="str">
        <f>"-1-"</f>
        <v>-1-</v>
      </c>
      <c r="B32" s="2" t="str">
        <f>"-2-"</f>
        <v>-2-</v>
      </c>
      <c r="C32" s="2" t="str">
        <f>"-3-"</f>
        <v>-3-</v>
      </c>
      <c r="D32" s="2" t="str">
        <f>"-4-"</f>
        <v>-4-</v>
      </c>
      <c r="E32" s="2" t="str">
        <f>"-5-"</f>
        <v>-5-</v>
      </c>
      <c r="F32" s="2" t="str">
        <f>"-6-"</f>
        <v>-6-</v>
      </c>
      <c r="G32" s="2" t="str">
        <f>"-7-"</f>
        <v>-7-</v>
      </c>
      <c r="H32" s="2" t="str">
        <f>"-8-"</f>
        <v>-8-</v>
      </c>
      <c r="I32" s="2" t="str">
        <f>"-9-"</f>
        <v>-9-</v>
      </c>
      <c r="J32" s="2" t="str">
        <f>"-10-"</f>
        <v>-10-</v>
      </c>
      <c r="K32" s="2" t="str">
        <f>"-11-"</f>
        <v>-11-</v>
      </c>
      <c r="L32" s="2" t="str">
        <f>"-12-"</f>
        <v>-12-</v>
      </c>
      <c r="M32" s="2" t="str">
        <f>"-13-"</f>
        <v>-13-</v>
      </c>
      <c r="N32" s="2" t="str">
        <f>"-14-"</f>
        <v>-14-</v>
      </c>
      <c r="O32" s="2" t="str">
        <f>"-15-"</f>
        <v>-15-</v>
      </c>
      <c r="P32" s="2" t="str">
        <f>"-16-"</f>
        <v>-16-</v>
      </c>
      <c r="Q32" s="2" t="str">
        <f>"-17-"</f>
        <v>-17-</v>
      </c>
      <c r="R32" s="2" t="str">
        <f>"-18-"</f>
        <v>-18-</v>
      </c>
      <c r="S32" s="2" t="str">
        <f>"-19-"</f>
        <v>-19-</v>
      </c>
      <c r="T32" s="2" t="str">
        <f>"-20-"</f>
        <v>-20-</v>
      </c>
      <c r="U32" s="2" t="str">
        <f>"-21-"</f>
        <v>-21-</v>
      </c>
      <c r="V32" s="14" t="str">
        <f>"-22-"</f>
        <v>-22-</v>
      </c>
      <c r="W32" s="2" t="str">
        <f>"-23-"</f>
        <v>-23-</v>
      </c>
      <c r="X32" s="2" t="str">
        <f>"-24-"</f>
        <v>-24-</v>
      </c>
      <c r="Y32" s="2" t="str">
        <f>"-25-"</f>
        <v>-25-</v>
      </c>
      <c r="Z32" s="2" t="str">
        <f>"-26-"</f>
        <v>-26-</v>
      </c>
      <c r="AA32" s="2" t="str">
        <f>"-27-"</f>
        <v>-27-</v>
      </c>
    </row>
    <row r="33" spans="1:27" ht="22.2" customHeight="1" x14ac:dyDescent="0.3">
      <c r="A33" s="23"/>
      <c r="B33" s="23"/>
      <c r="C33" s="23"/>
      <c r="D33" s="23"/>
      <c r="E33" s="23"/>
      <c r="F33" s="23"/>
      <c r="G33" s="23"/>
      <c r="H33" s="23"/>
      <c r="I33" s="24">
        <f>I21+I27</f>
        <v>37289923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7" t="str">
        <f>IF(M6&gt;0,(X27/I27)*I33,"")</f>
        <v/>
      </c>
      <c r="Y33" s="7" t="str">
        <f>IF(M6&gt;0,ROUND(X33*(1+Z33),2),"")</f>
        <v/>
      </c>
      <c r="Z33" s="15">
        <f>23%</f>
        <v>0.23</v>
      </c>
      <c r="AA33" s="14" t="s">
        <v>43</v>
      </c>
    </row>
    <row r="34" spans="1:27" ht="22.2" customHeight="1" x14ac:dyDescent="0.3">
      <c r="W34" s="11"/>
      <c r="X34" s="20"/>
      <c r="Y34" s="20"/>
    </row>
    <row r="35" spans="1:27" ht="41.4" customHeight="1" x14ac:dyDescent="0.3">
      <c r="A35" s="32" t="s">
        <v>14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4"/>
    </row>
    <row r="36" spans="1:27" ht="22.8" customHeight="1" x14ac:dyDescent="0.3">
      <c r="A36" s="32" t="s">
        <v>35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4"/>
    </row>
    <row r="40" spans="1:27" ht="15.6" customHeight="1" x14ac:dyDescent="0.3"/>
    <row r="41" spans="1:27" ht="15.6" customHeight="1" x14ac:dyDescent="0.3"/>
    <row r="61" spans="15:15" x14ac:dyDescent="0.3">
      <c r="O61" s="10"/>
    </row>
  </sheetData>
  <sheetProtection algorithmName="SHA-512" hashValue="ukI3sS8zJixAMNddg1o1IvkVoaPecY786KGg/CEzX/ssPVznT5eUVDOTiE9NoOGltSnACkH8BV0Bp4hs7Q6Aqg==" saltValue="Zevf7b0rs011L4sZZzl/vw==" spinCount="100000" sheet="1" objects="1" scenarios="1"/>
  <protectedRanges>
    <protectedRange sqref="M6:M20" name="Rozstęp3"/>
    <protectedRange sqref="O6:O20" name="Rozstęp1"/>
    <protectedRange sqref="Q6:Q20" name="Rozstęp2"/>
  </protectedRanges>
  <autoFilter ref="A5:AA36" xr:uid="{00000000-0001-0000-0000-000000000000}"/>
  <mergeCells count="45">
    <mergeCell ref="A35:N35"/>
    <mergeCell ref="A36:N36"/>
    <mergeCell ref="D3:D4"/>
    <mergeCell ref="E3:E4"/>
    <mergeCell ref="F3:F4"/>
    <mergeCell ref="G3:G4"/>
    <mergeCell ref="H3:H4"/>
    <mergeCell ref="M3:R3"/>
    <mergeCell ref="A24:A25"/>
    <mergeCell ref="B24:B25"/>
    <mergeCell ref="C24:C25"/>
    <mergeCell ref="D24:D25"/>
    <mergeCell ref="E24:E25"/>
    <mergeCell ref="F24:F25"/>
    <mergeCell ref="G24:G25"/>
    <mergeCell ref="H24:H25"/>
    <mergeCell ref="A1:AA1"/>
    <mergeCell ref="S3:W3"/>
    <mergeCell ref="A3:A4"/>
    <mergeCell ref="B3:B4"/>
    <mergeCell ref="C3:C4"/>
    <mergeCell ref="I3:I4"/>
    <mergeCell ref="J3:J4"/>
    <mergeCell ref="K3:K4"/>
    <mergeCell ref="L3:L4"/>
    <mergeCell ref="A30:A31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R30"/>
    <mergeCell ref="S30:W30"/>
    <mergeCell ref="I24:I25"/>
    <mergeCell ref="J24:J25"/>
    <mergeCell ref="K24:K25"/>
    <mergeCell ref="L24:L25"/>
    <mergeCell ref="M24:R24"/>
    <mergeCell ref="S24:W2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cp:lastPrinted>2023-04-05T11:46:24Z</cp:lastPrinted>
  <dcterms:created xsi:type="dcterms:W3CDTF">2015-06-05T18:19:34Z</dcterms:created>
  <dcterms:modified xsi:type="dcterms:W3CDTF">2023-07-07T14:00:45Z</dcterms:modified>
</cp:coreProperties>
</file>