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P Zamówienia Publiczne\Wydział\2023\BZP.271.16.2023 Ubezpieczenia - 5 części\Do publikacji\"/>
    </mc:Choice>
  </mc:AlternateContent>
  <xr:revisionPtr revIDLastSave="0" documentId="8_{5056BDF8-F280-49FC-BD49-A6357ECBF144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Budynki_budowle " sheetId="2" r:id="rId1"/>
  </sheets>
  <definedNames>
    <definedName name="_xlnm._FilterDatabase" localSheetId="0" hidden="1">'Budynki_budowle '!$A$45:$F$82</definedName>
    <definedName name="_xlnm.Print_Titles" localSheetId="0">'Budynki_budowle '!$1:$7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1" i="2" l="1"/>
  <c r="G70" i="2"/>
  <c r="G69" i="2"/>
  <c r="F71" i="2"/>
  <c r="F70" i="2"/>
  <c r="F69" i="2"/>
  <c r="G53" i="2" l="1"/>
  <c r="F53" i="2"/>
  <c r="F54" i="2"/>
  <c r="G74" i="2" l="1"/>
  <c r="F74" i="2"/>
  <c r="F77" i="2"/>
  <c r="G77" i="2"/>
  <c r="F80" i="2" l="1"/>
  <c r="F57" i="2"/>
  <c r="G79" i="2"/>
  <c r="F79" i="2"/>
  <c r="G78" i="2"/>
  <c r="F78" i="2"/>
  <c r="G66" i="2"/>
  <c r="F66" i="2"/>
  <c r="G63" i="2"/>
  <c r="F64" i="2"/>
  <c r="F63" i="2"/>
  <c r="G61" i="2" l="1"/>
  <c r="F61" i="2"/>
  <c r="G59" i="2"/>
  <c r="F60" i="2"/>
  <c r="F59" i="2"/>
  <c r="G57" i="2"/>
  <c r="G56" i="2"/>
  <c r="F56" i="2"/>
  <c r="G73" i="2" l="1"/>
  <c r="F73" i="2"/>
  <c r="G55" i="2"/>
  <c r="F55" i="2"/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G8" i="2"/>
  <c r="G33" i="2" l="1"/>
  <c r="F44" i="2"/>
  <c r="F43" i="2"/>
  <c r="F42" i="2"/>
  <c r="F41" i="2"/>
  <c r="F40" i="2"/>
  <c r="F39" i="2"/>
  <c r="F38" i="2"/>
  <c r="F37" i="2"/>
  <c r="G36" i="2"/>
  <c r="G35" i="2"/>
  <c r="G34" i="2"/>
  <c r="G51" i="2" l="1"/>
  <c r="G45" i="2"/>
  <c r="F50" i="2"/>
  <c r="F49" i="2"/>
  <c r="F48" i="2"/>
  <c r="F47" i="2"/>
  <c r="F46" i="2"/>
  <c r="F85" i="2" l="1"/>
  <c r="G85" i="2"/>
</calcChain>
</file>

<file path=xl/sharedStrings.xml><?xml version="1.0" encoding="utf-8"?>
<sst xmlns="http://schemas.openxmlformats.org/spreadsheetml/2006/main" count="236" uniqueCount="199">
  <si>
    <t>Lp.</t>
  </si>
  <si>
    <t>Nazwa jednostki</t>
  </si>
  <si>
    <t>Adres jednostki</t>
  </si>
  <si>
    <t>Adres budynku</t>
  </si>
  <si>
    <t>jak dla siedziby jednostki</t>
  </si>
  <si>
    <t>Biblioteka Miejska</t>
  </si>
  <si>
    <t>Żłobek Dzienny w Skoczowie</t>
  </si>
  <si>
    <t xml:space="preserve">Urząd Miejski Skoczów </t>
  </si>
  <si>
    <t>Miejski Zarząd Dróg w Skoczowie</t>
  </si>
  <si>
    <t xml:space="preserve">Skoczowski Ośrodek Sportu i Rekreacji </t>
  </si>
  <si>
    <t>Miejski Zarząd Oświaty</t>
  </si>
  <si>
    <t>Przedszkole Publiczne nr 1 w Skoczowie</t>
  </si>
  <si>
    <t>Przedszkole Publiczne nr 2 w Skoczowie</t>
  </si>
  <si>
    <t>Przedszkole Publiczne nr 3 w Skoczowie</t>
  </si>
  <si>
    <t>Przedszkole Publiczne nr 4 w Skoczowie z oddziałami zamiejscowymi w Międzyświeciu</t>
  </si>
  <si>
    <t>Przedszkole Publiczne w Harbutowicach</t>
  </si>
  <si>
    <t>ul. Chabrowa 6, Harbutowice</t>
  </si>
  <si>
    <t>Przedszkole Publiczne w Ochabach z oddziałami zamiejscowymi w Wiślicy</t>
  </si>
  <si>
    <t>ul. Gołyska 12, Ochaby</t>
  </si>
  <si>
    <t>Przedszkole Publiczne w Pierśćcu z oddziałami zamiejscowymi w Kowalach</t>
  </si>
  <si>
    <t>ul. Skoczowska 73, Pierściec</t>
  </si>
  <si>
    <t>ul. Długa 52, 43-430 Kiczyce</t>
  </si>
  <si>
    <t>Zespół Szkolno Przedszkolny w Kiczycach - Przedszkole Publiczne w Kiczycach</t>
  </si>
  <si>
    <t>ul. Ochabska 54, 43-430 Kiczyce</t>
  </si>
  <si>
    <t>ul. Ludwika Krzempka 2, 43-430 Ochaby Małe</t>
  </si>
  <si>
    <t>Zespół Szkolno - Przedszkolny w Pogórzu - Przedszkole Publiczne w Pogórzu</t>
  </si>
  <si>
    <t>ul. Bielska 91, 43-430 Skoczów</t>
  </si>
  <si>
    <t>ul. Zamek 8, 43-430 Pogórze</t>
  </si>
  <si>
    <t>ul. Tomanka 8, 43-430 Pierściec</t>
  </si>
  <si>
    <t>Szkoła Podstawowa Nr 3 im. Jana Pawła II w Skoczowie</t>
  </si>
  <si>
    <t>Ośrodek Pomocy Społecznej</t>
  </si>
  <si>
    <t>ul. Mickiewicza 22, 43 - 430 Skoczów</t>
  </si>
  <si>
    <t>Rynek 1, 43 - 430 Skoczów</t>
  </si>
  <si>
    <t>ul. Mickiewicza 14, 43 - 430 Skoczów</t>
  </si>
  <si>
    <t>ul. Górecka 2A,43 - 430 Skoczów</t>
  </si>
  <si>
    <t>ul. Mały Rynek 1, 43 - 430 Skoczów</t>
  </si>
  <si>
    <t>ul. Mickiewicza 27, 43 - 430 Skoczów</t>
  </si>
  <si>
    <t>ul. Targowa 19, 43 - 430 Skoczów</t>
  </si>
  <si>
    <t>ul. Południowa 6, 43 - 430 Skoczów</t>
  </si>
  <si>
    <t>ul. Gustawa Morcinka 20, 43 - 430 Skoczów</t>
  </si>
  <si>
    <t>ul. Morcinka 20, 43 - 430 Skoczów</t>
  </si>
  <si>
    <t>ul. Mickiewicza 11, 43 - 430 Skoczów</t>
  </si>
  <si>
    <t>ul. Osiedlowa 1, 43 - 430 Skoczów</t>
  </si>
  <si>
    <t>ul. Bielska 17, 43 - 430 Skoczów</t>
  </si>
  <si>
    <t>Ul. Morcinka 18, 43 - 430 Skoczów</t>
  </si>
  <si>
    <t>Ul. Mickiewicza 9, 43 - 430 Skoczów</t>
  </si>
  <si>
    <t>2.1</t>
  </si>
  <si>
    <t>2.2</t>
  </si>
  <si>
    <t>2.3</t>
  </si>
  <si>
    <t>2.4</t>
  </si>
  <si>
    <t>2.5</t>
  </si>
  <si>
    <t>2.6</t>
  </si>
  <si>
    <t>2.7</t>
  </si>
  <si>
    <t>2.8</t>
  </si>
  <si>
    <t>Garaż - ul. Rynek 1</t>
  </si>
  <si>
    <t>Portiernia-ul. Krzywa 4</t>
  </si>
  <si>
    <t>Zaplecze socjalne przy boisku LKS w Ochabach</t>
  </si>
  <si>
    <t>Budynek starej strażnicy - Wiślica</t>
  </si>
  <si>
    <t>Budynek LKS Pogórze</t>
  </si>
  <si>
    <t xml:space="preserve">Centrum Miejskie Integrator </t>
  </si>
  <si>
    <t>Budynek użytkowy Dom Ludowy Powiatowa 142, Wiślica (tylko lokal sołtysa)</t>
  </si>
  <si>
    <t>Garaż - Szpitalna 1</t>
  </si>
  <si>
    <t>Budynek magazynowy w Harbutowicach</t>
  </si>
  <si>
    <t>Barak z elementów - Ochaby</t>
  </si>
  <si>
    <t>Barak socjalny Ochaby</t>
  </si>
  <si>
    <t>Barak administracyjny Ochaby</t>
  </si>
  <si>
    <t>Remiza OSP Wilamowice</t>
  </si>
  <si>
    <t>Remiza OSP Kowale</t>
  </si>
  <si>
    <t>Remiza OSP Pierściec</t>
  </si>
  <si>
    <t>Remiza OSP Ochaby</t>
  </si>
  <si>
    <t>Remiza OSP Pogórze</t>
  </si>
  <si>
    <t>Ratusz - ul. Rynek 1</t>
  </si>
  <si>
    <t>Budynek ul. Rynek 3</t>
  </si>
  <si>
    <t>Suma ubezpieczenia budynków wg WO</t>
  </si>
  <si>
    <t>Kino "Teatr Elektryczny"</t>
  </si>
  <si>
    <t>X</t>
  </si>
  <si>
    <t>3.1</t>
  </si>
  <si>
    <t>3.2</t>
  </si>
  <si>
    <t>3.3</t>
  </si>
  <si>
    <t>3.4</t>
  </si>
  <si>
    <t>3.5</t>
  </si>
  <si>
    <t>wiata</t>
  </si>
  <si>
    <t>Pawilon wielofunkcyjny na targowisku miejskim</t>
  </si>
  <si>
    <t>kontener użytkowy (modernizacja targowiska)</t>
  </si>
  <si>
    <t>jak niżej - od poz. 3.1 do 3.8</t>
  </si>
  <si>
    <t>Powierzchnia użytkowa budynku w m2</t>
  </si>
  <si>
    <t>Budynek socjalno - biurowy</t>
  </si>
  <si>
    <t>ul. Krzywa 4, Skoczów</t>
  </si>
  <si>
    <t xml:space="preserve">Zaplecze warszatowe </t>
  </si>
  <si>
    <t xml:space="preserve">Budynek użytkowy "Agroma" </t>
  </si>
  <si>
    <t>Budynek toalety publicznej</t>
  </si>
  <si>
    <t>ul. Rynek 3a, Skoczów</t>
  </si>
  <si>
    <t>Kryta Pływalnia "Delfin"</t>
  </si>
  <si>
    <t>Stadion Miejski</t>
  </si>
  <si>
    <t>ul. Sportowa 6, 43 - 430 Skoczów</t>
  </si>
  <si>
    <t>Hala sportowa Stadionu Miejskiego</t>
  </si>
  <si>
    <t>jak niżej - od poz. 4.1 do 4.5</t>
  </si>
  <si>
    <t>Budynek portierni, kasy Stadionu Miejskiego</t>
  </si>
  <si>
    <t>Budynek sterowni wraz z wiatą na stoku narciarskim "Pod Dębem" na stoku Kaplicówka</t>
  </si>
  <si>
    <t>Wyciąg na stoku "Kaplicówka"</t>
  </si>
  <si>
    <t>Jednostka prowadzi działalność w budynku najmowanym od lokalnej spółdzielni mieszkaniowej - nie będzie obejmowany ubezpieczeniem</t>
  </si>
  <si>
    <t>Jednostka prowadzi działalność w budynku najmowanym od Skoczowskiego Przedsiębiorstwa Komunalnego Sp. z o.o. - nie będzie obejmowany ubezpieczeniem</t>
  </si>
  <si>
    <t>budynek siedziby jednostki ubezpieczony przez Urząd Miasta - Centrum Miejskie INTEGRATOR</t>
  </si>
  <si>
    <t>Filia nr 1</t>
  </si>
  <si>
    <t>Filia nr 2</t>
  </si>
  <si>
    <t>ul. Ks. H.Sobeckiego 8, Pierściec</t>
  </si>
  <si>
    <t>budynek siedziby filii jest wynajmowany od podmiotu trzeciego, nie będzie objęty ubezpieczeniem</t>
  </si>
  <si>
    <t>9.1</t>
  </si>
  <si>
    <t>9.2</t>
  </si>
  <si>
    <t>jak niżej - od poz. 9.1 do 9.2</t>
  </si>
  <si>
    <t>ul. Gustawa Morcinka 20,
43 – 430 Skoczów</t>
  </si>
  <si>
    <t>Międzyświeć, Ul. Malinowa 2
43 – 430 Skoczów</t>
  </si>
  <si>
    <t>11.1</t>
  </si>
  <si>
    <t>11.2</t>
  </si>
  <si>
    <t>Wiślica ul. Powiatowa 85, 43 – 430 Skoczów</t>
  </si>
  <si>
    <t>Ochaby ul. Gołyska 12, 43 – 430 Skoczów</t>
  </si>
  <si>
    <t>jak niżej - od poz. 11.1 do 11.2</t>
  </si>
  <si>
    <t>jak niżej - od poz. 12.1 do 12.2</t>
  </si>
  <si>
    <t>12.1</t>
  </si>
  <si>
    <t>12.2</t>
  </si>
  <si>
    <t>Budynek wynajęty od OSP w Kowalach</t>
  </si>
  <si>
    <t>Pierściec ul. Skoczowska 73, 43 – 430 Skoczów</t>
  </si>
  <si>
    <t>17.1</t>
  </si>
  <si>
    <t>17.2</t>
  </si>
  <si>
    <t>prowadzi działalność w budynku najmowanym od Skoczowskiego Przedsiębiorstwa Komunalnego Sp. z o.o. - nie będzie obejmowany ubezpieczeniem</t>
  </si>
  <si>
    <t>664,65 m2 - Szkoła; 1 077,64 m2 - sala gimnastyczna</t>
  </si>
  <si>
    <t>jak niżej - od poz. 17.1 do 17.2</t>
  </si>
  <si>
    <t>13.1</t>
  </si>
  <si>
    <t>13.2</t>
  </si>
  <si>
    <t>jak niżej - od poz. 13.1 do 13.2</t>
  </si>
  <si>
    <t>15.1</t>
  </si>
  <si>
    <t>jak niżej - od poz. 15.1 do 15.2</t>
  </si>
  <si>
    <t>ul. Bielska 34, 43 - 430 Skoczów</t>
  </si>
  <si>
    <t>Zespół Szkolno - Przedszkolny w Pogórzu - Przedszkole Publiczne w Pogórzu, Szkoła Podstawowa im. Jana Marka w Pogórzu</t>
  </si>
  <si>
    <t>siedziba filii znajduje się w budynku MZO (Szkoły)</t>
  </si>
  <si>
    <t>targowisko - ul. Górecka</t>
  </si>
  <si>
    <t>targowisko - ul. Rzeczna</t>
  </si>
  <si>
    <t>21.1</t>
  </si>
  <si>
    <t>21.2</t>
  </si>
  <si>
    <t>Zespół Szkolno Przedszkolny w Kiczycach - Szkoła Podstawowa im. Orła Białego i Przedszkole Publiczne w Kiczycach</t>
  </si>
  <si>
    <t>Zespół Szkolno Przedszkolny w Kiczycach - Szkoła Podstawowa im. Orła Białego w Kiczycach</t>
  </si>
  <si>
    <t>Szkoła Podstawowa Nr 8 im. Krystyny Bochenek w Skoczowie</t>
  </si>
  <si>
    <t>Szkoła Podstawowa Nr 1 im. Gustawa Morcinka w Skoczowie</t>
  </si>
  <si>
    <t>Szkoła Podstawowa im. Karola Miarki w Ochabach</t>
  </si>
  <si>
    <t>Zespół Szkolno - Przedszkolny w Pogórzu - Szkoła Podstawowa im. Jana Marka w Pogórzu</t>
  </si>
  <si>
    <t>Szkoła Podstawowa im. Zofii Kossak w Pierśćcu</t>
  </si>
  <si>
    <t>19.1</t>
  </si>
  <si>
    <t>19.2</t>
  </si>
  <si>
    <t>ul. Bielska 34, 43-430 Skoczów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</si>
  <si>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</si>
  <si>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</si>
  <si>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</si>
  <si>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</si>
  <si>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</si>
  <si>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</si>
  <si>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</si>
  <si>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</si>
  <si>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</si>
  <si>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</si>
  <si>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</si>
  <si>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</si>
  <si>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</si>
  <si>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</si>
  <si>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</si>
  <si>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</si>
  <si>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</si>
  <si>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1.19</t>
  </si>
  <si>
    <t>1.20</t>
  </si>
  <si>
    <t>1.21</t>
  </si>
  <si>
    <t>1.22</t>
  </si>
  <si>
    <t>1.23</t>
  </si>
  <si>
    <t>1.24</t>
  </si>
  <si>
    <t>Dom Rolnika Harbutowice, ul. Habrowa 6</t>
  </si>
  <si>
    <t>Świetlica wiejska w sołectwie Bładnice, ul. Świetlicowa 2</t>
  </si>
  <si>
    <t>ul. Pożarnicza 2, 43 – 430 Kowale</t>
  </si>
  <si>
    <t>5.1</t>
  </si>
  <si>
    <t>5.2</t>
  </si>
  <si>
    <t>Filia w Międzyświeciu</t>
  </si>
  <si>
    <t>wiaty rekreacyjne; ul. Rekreacyjna (dz. 114/2) Wilamowice</t>
  </si>
  <si>
    <t>Suma ubezpieczenia pozostałych budowli wg WO</t>
  </si>
  <si>
    <t>UWAGI</t>
  </si>
  <si>
    <t>bramy wjazdowe, bramki wejściowe, bariery ochronne i energochłonne</t>
  </si>
  <si>
    <t>wiaty przystankowe</t>
  </si>
  <si>
    <t>Obiekty inżynierii lądowej i wodnej: kanalizacja deszczowa, ścieżki rowerowe, drogi, kładki, przepusty, mostki, parkingi, słupy reklamowe, ogrodzenia, pomniki, oświetlenie, fontanny itp..</t>
  </si>
  <si>
    <t>Suma ubezpieczenia dotyczy tylko parteru zaadaptowanego na przedszkole</t>
  </si>
  <si>
    <t>po modernizacji wartość wzrosła o 457.918,13 zł (z marca 2020)</t>
  </si>
  <si>
    <t>Gmina Skoczów</t>
  </si>
  <si>
    <t>Rynek 1, 43-430 Skoczów</t>
  </si>
  <si>
    <t>NIP: 5482404967  </t>
  </si>
  <si>
    <t>REGON: 072182522</t>
  </si>
  <si>
    <t>Załącznik nr 5 - Sumy ubezpieczenia budynków, lokali i budowli</t>
  </si>
  <si>
    <t>3.6</t>
  </si>
  <si>
    <t xml:space="preserve">Plac sportowo-rekreacyjny z urządzeniami do ćwiczeń typu "parkour" </t>
  </si>
  <si>
    <t>ul. Ks. Mocko, 43 - 430 Skoczów</t>
  </si>
  <si>
    <t>Międzyświeć, Ul. Malinowa 2; 
43 – 430 Skoczów</t>
  </si>
  <si>
    <t>Nr referencyjny postępowania: BZP.271.16.2023</t>
  </si>
  <si>
    <t>Pozostałe budowle: na terenie Gminy Skoczów (modernizacja zaplecza targowiska rolnego, kontener, huśtawki, zjeżdżalnie, kosze, bariery)</t>
  </si>
  <si>
    <t>1.18</t>
  </si>
  <si>
    <t xml:space="preserve">Budowle na terenie Gminy Skoczów - m.in. Boiska, urzadzenia rekreacyjne, oświetlenie, pump track, place zabaw i inne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</si>
</sst>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_-[$€-2]\ * #,##0.00_-;\-[$€-2]\ * #,##0.00_-;_-[$€-2]\ * &quot;-&quot;??_-;_-@_-"/>
    <numFmt numFmtId="167" formatCode="0.000%"/>
    <numFmt numFmtId="168" formatCode="_-* #,##0.00\ &quot;zł&quot;_-;\-* #,##0.00\ &quot;zł&quot;_-;_-* &quot;-&quot;???\ &quot;zł&quot;_-;_-@_-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5" tint="-0.24997711111789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zcionka tekstu podstawowego"/>
      <family val="2"/>
      <charset val="238"/>
    </font>
    <font>
      <b/>
      <sz val="10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23">
    <xf numFmtId="0" fontId="0" fillId="0" borderId="0" xfId="0"/>
    <xf numFmtId="0" fontId="6" fillId="0" borderId="0" xfId="0" applyFont="1"/>
    <xf numFmtId="0" fontId="6" fillId="0" borderId="0" xfId="0" applyFont="1" applyAlignment="1">
      <alignment wrapText="1"/>
    </xf>
    <xf numFmtId="165" fontId="6" fillId="0" borderId="0" xfId="0" applyNumberFormat="1" applyFont="1"/>
    <xf numFmtId="165" fontId="8" fillId="0" borderId="3" xfId="0" applyNumberFormat="1" applyFont="1" applyBorder="1"/>
    <xf numFmtId="0" fontId="9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44" fontId="6" fillId="0" borderId="0" xfId="0" applyNumberFormat="1" applyFont="1"/>
    <xf numFmtId="0" fontId="6" fillId="5" borderId="3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center" wrapText="1"/>
    </xf>
    <xf numFmtId="164" fontId="6" fillId="5" borderId="1" xfId="2" applyFont="1" applyFill="1" applyBorder="1" applyAlignment="1">
      <alignment horizontal="center" vertical="center"/>
    </xf>
    <xf numFmtId="0" fontId="6" fillId="5" borderId="8" xfId="0" applyFont="1" applyFill="1" applyBorder="1" applyAlignment="1">
      <alignment vertical="top" wrapText="1"/>
    </xf>
    <xf numFmtId="0" fontId="9" fillId="5" borderId="8" xfId="0" applyFont="1" applyFill="1" applyBorder="1" applyAlignment="1">
      <alignment horizontal="center" vertical="center" wrapText="1"/>
    </xf>
    <xf numFmtId="164" fontId="6" fillId="5" borderId="8" xfId="2" applyFont="1" applyFill="1" applyBorder="1" applyAlignment="1">
      <alignment horizontal="center" vertical="center"/>
    </xf>
    <xf numFmtId="0" fontId="6" fillId="6" borderId="5" xfId="0" applyFont="1" applyFill="1" applyBorder="1" applyAlignment="1">
      <alignment vertical="top" wrapText="1"/>
    </xf>
    <xf numFmtId="44" fontId="6" fillId="0" borderId="0" xfId="1" applyFont="1"/>
    <xf numFmtId="166" fontId="6" fillId="0" borderId="0" xfId="0" applyNumberFormat="1" applyFont="1"/>
    <xf numFmtId="0" fontId="9" fillId="0" borderId="1" xfId="0" quotePrefix="1" applyFont="1" applyBorder="1" applyAlignment="1">
      <alignment horizontal="center" vertical="center"/>
    </xf>
    <xf numFmtId="0" fontId="9" fillId="0" borderId="8" xfId="0" quotePrefix="1" applyFont="1" applyBorder="1" applyAlignment="1">
      <alignment horizontal="center" vertical="center"/>
    </xf>
    <xf numFmtId="0" fontId="3" fillId="0" borderId="0" xfId="0" applyFont="1"/>
    <xf numFmtId="44" fontId="7" fillId="5" borderId="2" xfId="1" applyFont="1" applyFill="1" applyBorder="1" applyAlignment="1">
      <alignment horizontal="right" vertical="center"/>
    </xf>
    <xf numFmtId="44" fontId="7" fillId="5" borderId="20" xfId="1" applyFont="1" applyFill="1" applyBorder="1" applyAlignment="1">
      <alignment horizontal="right" vertical="center"/>
    </xf>
    <xf numFmtId="0" fontId="12" fillId="5" borderId="3" xfId="0" applyFont="1" applyFill="1" applyBorder="1" applyAlignment="1">
      <alignment wrapText="1"/>
    </xf>
    <xf numFmtId="0" fontId="12" fillId="5" borderId="1" xfId="0" applyFont="1" applyFill="1" applyBorder="1" applyAlignment="1">
      <alignment wrapText="1"/>
    </xf>
    <xf numFmtId="0" fontId="12" fillId="5" borderId="8" xfId="0" applyFont="1" applyFill="1" applyBorder="1" applyAlignment="1">
      <alignment wrapText="1"/>
    </xf>
    <xf numFmtId="44" fontId="7" fillId="6" borderId="5" xfId="1" applyFont="1" applyFill="1" applyBorder="1"/>
    <xf numFmtId="0" fontId="12" fillId="6" borderId="5" xfId="0" applyFont="1" applyFill="1" applyBorder="1"/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" fillId="0" borderId="0" xfId="0" applyFont="1"/>
    <xf numFmtId="0" fontId="5" fillId="0" borderId="0" xfId="0" applyFont="1"/>
    <xf numFmtId="164" fontId="6" fillId="5" borderId="16" xfId="2" applyFont="1" applyFill="1" applyBorder="1" applyAlignment="1">
      <alignment horizontal="center" vertical="center"/>
    </xf>
    <xf numFmtId="44" fontId="7" fillId="5" borderId="16" xfId="1" applyFont="1" applyFill="1" applyBorder="1" applyAlignment="1">
      <alignment horizontal="right" vertical="center"/>
    </xf>
    <xf numFmtId="44" fontId="7" fillId="5" borderId="3" xfId="1" applyFont="1" applyFill="1" applyBorder="1" applyAlignment="1">
      <alignment horizontal="center" vertical="center" wrapText="1"/>
    </xf>
    <xf numFmtId="0" fontId="9" fillId="0" borderId="3" xfId="0" quotePrefix="1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6" fillId="5" borderId="19" xfId="0" applyFont="1" applyFill="1" applyBorder="1" applyAlignment="1">
      <alignment vertical="top" wrapText="1"/>
    </xf>
    <xf numFmtId="0" fontId="9" fillId="5" borderId="19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/>
    </xf>
    <xf numFmtId="44" fontId="7" fillId="5" borderId="22" xfId="1" applyFont="1" applyFill="1" applyBorder="1" applyAlignment="1">
      <alignment horizontal="center" vertical="center"/>
    </xf>
    <xf numFmtId="0" fontId="12" fillId="5" borderId="19" xfId="0" applyFont="1" applyFill="1" applyBorder="1" applyAlignment="1">
      <alignment wrapText="1"/>
    </xf>
    <xf numFmtId="0" fontId="9" fillId="5" borderId="4" xfId="0" applyFont="1" applyFill="1" applyBorder="1" applyAlignment="1">
      <alignment horizontal="center" vertical="center" wrapText="1"/>
    </xf>
    <xf numFmtId="44" fontId="6" fillId="0" borderId="0" xfId="0" applyNumberFormat="1" applyFont="1" applyAlignment="1">
      <alignment wrapText="1"/>
    </xf>
    <xf numFmtId="0" fontId="7" fillId="0" borderId="3" xfId="0" applyFont="1" applyBorder="1" applyAlignment="1">
      <alignment horizontal="center" vertical="center"/>
    </xf>
    <xf numFmtId="0" fontId="7" fillId="7" borderId="3" xfId="0" applyFont="1" applyFill="1" applyBorder="1" applyAlignment="1">
      <alignment vertical="center" wrapText="1"/>
    </xf>
    <xf numFmtId="44" fontId="7" fillId="7" borderId="3" xfId="1" applyFont="1" applyFill="1" applyBorder="1" applyAlignment="1">
      <alignment vertical="center"/>
    </xf>
    <xf numFmtId="0" fontId="12" fillId="7" borderId="3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44" fontId="7" fillId="8" borderId="3" xfId="1" applyFont="1" applyFill="1" applyBorder="1"/>
    <xf numFmtId="0" fontId="12" fillId="8" borderId="3" xfId="0" applyFont="1" applyFill="1" applyBorder="1" applyAlignment="1">
      <alignment wrapText="1"/>
    </xf>
    <xf numFmtId="0" fontId="7" fillId="0" borderId="0" xfId="0" applyFont="1"/>
    <xf numFmtId="0" fontId="7" fillId="0" borderId="1" xfId="0" quotePrefix="1" applyFont="1" applyBorder="1" applyAlignment="1">
      <alignment horizontal="center" vertical="center"/>
    </xf>
    <xf numFmtId="0" fontId="7" fillId="8" borderId="1" xfId="0" applyFont="1" applyFill="1" applyBorder="1" applyAlignment="1">
      <alignment vertical="top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/>
    </xf>
    <xf numFmtId="44" fontId="7" fillId="8" borderId="2" xfId="1" applyFont="1" applyFill="1" applyBorder="1" applyAlignment="1">
      <alignment horizontal="right" vertical="center"/>
    </xf>
    <xf numFmtId="44" fontId="7" fillId="8" borderId="1" xfId="1" applyFont="1" applyFill="1" applyBorder="1"/>
    <xf numFmtId="0" fontId="12" fillId="8" borderId="1" xfId="0" applyFont="1" applyFill="1" applyBorder="1"/>
    <xf numFmtId="164" fontId="7" fillId="8" borderId="1" xfId="2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wrapText="1"/>
    </xf>
    <xf numFmtId="0" fontId="7" fillId="8" borderId="1" xfId="0" applyFont="1" applyFill="1" applyBorder="1" applyAlignment="1">
      <alignment vertical="center" wrapText="1"/>
    </xf>
    <xf numFmtId="44" fontId="7" fillId="4" borderId="6" xfId="1" applyFont="1" applyFill="1" applyBorder="1"/>
    <xf numFmtId="0" fontId="7" fillId="4" borderId="6" xfId="0" applyFont="1" applyFill="1" applyBorder="1" applyAlignment="1">
      <alignment vertical="top" wrapText="1"/>
    </xf>
    <xf numFmtId="0" fontId="7" fillId="4" borderId="6" xfId="0" applyFont="1" applyFill="1" applyBorder="1" applyAlignment="1">
      <alignment horizontal="center" vertical="center" wrapText="1"/>
    </xf>
    <xf numFmtId="164" fontId="7" fillId="4" borderId="6" xfId="2" applyFont="1" applyFill="1" applyBorder="1" applyAlignment="1">
      <alignment horizontal="center" vertical="center"/>
    </xf>
    <xf numFmtId="0" fontId="12" fillId="4" borderId="6" xfId="0" applyFont="1" applyFill="1" applyBorder="1"/>
    <xf numFmtId="0" fontId="7" fillId="0" borderId="4" xfId="0" quotePrefix="1" applyFont="1" applyBorder="1" applyAlignment="1">
      <alignment horizontal="center" vertical="center"/>
    </xf>
    <xf numFmtId="0" fontId="7" fillId="8" borderId="4" xfId="0" applyFont="1" applyFill="1" applyBorder="1" applyAlignment="1">
      <alignment vertical="top" wrapText="1"/>
    </xf>
    <xf numFmtId="0" fontId="7" fillId="8" borderId="4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/>
    </xf>
    <xf numFmtId="44" fontId="7" fillId="8" borderId="13" xfId="1" applyFont="1" applyFill="1" applyBorder="1" applyAlignment="1">
      <alignment horizontal="right" vertical="center"/>
    </xf>
    <xf numFmtId="0" fontId="12" fillId="8" borderId="4" xfId="0" applyFont="1" applyFill="1" applyBorder="1"/>
    <xf numFmtId="0" fontId="7" fillId="4" borderId="6" xfId="0" applyFont="1" applyFill="1" applyBorder="1" applyAlignment="1">
      <alignment vertical="center" wrapText="1"/>
    </xf>
    <xf numFmtId="164" fontId="7" fillId="4" borderId="6" xfId="2" applyFont="1" applyFill="1" applyBorder="1" applyAlignment="1">
      <alignment vertical="center"/>
    </xf>
    <xf numFmtId="16" fontId="7" fillId="0" borderId="4" xfId="0" quotePrefix="1" applyNumberFormat="1" applyFont="1" applyBorder="1" applyAlignment="1">
      <alignment horizontal="center" vertical="center"/>
    </xf>
    <xf numFmtId="0" fontId="7" fillId="4" borderId="19" xfId="0" applyFont="1" applyFill="1" applyBorder="1"/>
    <xf numFmtId="164" fontId="7" fillId="4" borderId="19" xfId="2" applyFont="1" applyFill="1" applyBorder="1"/>
    <xf numFmtId="0" fontId="12" fillId="4" borderId="19" xfId="0" applyFont="1" applyFill="1" applyBorder="1"/>
    <xf numFmtId="0" fontId="7" fillId="0" borderId="5" xfId="0" quotePrefix="1" applyFont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 wrapText="1"/>
    </xf>
    <xf numFmtId="164" fontId="7" fillId="4" borderId="4" xfId="2" applyFont="1" applyFill="1" applyBorder="1" applyAlignment="1">
      <alignment vertical="center" wrapText="1"/>
    </xf>
    <xf numFmtId="0" fontId="12" fillId="4" borderId="4" xfId="0" applyFont="1" applyFill="1" applyBorder="1"/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wrapText="1"/>
    </xf>
    <xf numFmtId="164" fontId="7" fillId="4" borderId="1" xfId="2" applyFont="1" applyFill="1" applyBorder="1" applyAlignment="1">
      <alignment horizontal="center" vertical="center"/>
    </xf>
    <xf numFmtId="0" fontId="12" fillId="4" borderId="1" xfId="0" applyFont="1" applyFill="1" applyBorder="1"/>
    <xf numFmtId="0" fontId="7" fillId="0" borderId="7" xfId="0" applyFont="1" applyBorder="1" applyAlignment="1">
      <alignment horizontal="center" vertical="center"/>
    </xf>
    <xf numFmtId="0" fontId="7" fillId="4" borderId="3" xfId="0" applyFont="1" applyFill="1" applyBorder="1" applyAlignment="1">
      <alignment vertical="top" wrapText="1"/>
    </xf>
    <xf numFmtId="0" fontId="7" fillId="4" borderId="3" xfId="0" applyFont="1" applyFill="1" applyBorder="1" applyAlignment="1">
      <alignment horizontal="center" vertical="center" wrapText="1"/>
    </xf>
    <xf numFmtId="2" fontId="7" fillId="4" borderId="3" xfId="0" applyNumberFormat="1" applyFont="1" applyFill="1" applyBorder="1" applyAlignment="1">
      <alignment horizontal="center" vertical="center"/>
    </xf>
    <xf numFmtId="0" fontId="12" fillId="4" borderId="3" xfId="0" applyFont="1" applyFill="1" applyBorder="1"/>
    <xf numFmtId="0" fontId="7" fillId="0" borderId="4" xfId="0" applyFont="1" applyBorder="1" applyAlignment="1">
      <alignment horizontal="center" vertical="center"/>
    </xf>
    <xf numFmtId="0" fontId="7" fillId="4" borderId="4" xfId="0" applyFont="1" applyFill="1" applyBorder="1" applyAlignment="1">
      <alignment vertical="top" wrapText="1"/>
    </xf>
    <xf numFmtId="0" fontId="7" fillId="4" borderId="4" xfId="0" applyFont="1" applyFill="1" applyBorder="1"/>
    <xf numFmtId="0" fontId="7" fillId="4" borderId="4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vertical="center" wrapText="1"/>
    </xf>
    <xf numFmtId="164" fontId="7" fillId="4" borderId="4" xfId="2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wrapText="1"/>
    </xf>
    <xf numFmtId="0" fontId="7" fillId="4" borderId="4" xfId="0" applyFont="1" applyFill="1" applyBorder="1" applyAlignment="1">
      <alignment horizontal="center" vertical="top" wrapText="1"/>
    </xf>
    <xf numFmtId="2" fontId="7" fillId="4" borderId="13" xfId="0" applyNumberFormat="1" applyFont="1" applyFill="1" applyBorder="1" applyAlignment="1">
      <alignment vertical="center"/>
    </xf>
    <xf numFmtId="0" fontId="7" fillId="7" borderId="1" xfId="0" applyFont="1" applyFill="1" applyBorder="1" applyAlignment="1">
      <alignment vertical="center" wrapText="1"/>
    </xf>
    <xf numFmtId="44" fontId="7" fillId="7" borderId="1" xfId="1" applyFont="1" applyFill="1" applyBorder="1" applyAlignment="1">
      <alignment vertical="center"/>
    </xf>
    <xf numFmtId="0" fontId="12" fillId="7" borderId="1" xfId="0" applyFont="1" applyFill="1" applyBorder="1" applyAlignment="1">
      <alignment vertical="center"/>
    </xf>
    <xf numFmtId="0" fontId="7" fillId="7" borderId="4" xfId="0" applyFont="1" applyFill="1" applyBorder="1" applyAlignment="1">
      <alignment vertical="center" wrapText="1"/>
    </xf>
    <xf numFmtId="44" fontId="7" fillId="7" borderId="4" xfId="1" applyFont="1" applyFill="1" applyBorder="1" applyAlignment="1">
      <alignment vertical="center"/>
    </xf>
    <xf numFmtId="0" fontId="12" fillId="7" borderId="4" xfId="0" applyFont="1" applyFill="1" applyBorder="1" applyAlignment="1">
      <alignment vertical="center"/>
    </xf>
    <xf numFmtId="16" fontId="7" fillId="0" borderId="19" xfId="0" quotePrefix="1" applyNumberFormat="1" applyFont="1" applyBorder="1" applyAlignment="1">
      <alignment horizontal="center" vertical="center"/>
    </xf>
    <xf numFmtId="0" fontId="7" fillId="4" borderId="19" xfId="0" applyFont="1" applyFill="1" applyBorder="1" applyAlignment="1">
      <alignment horizontal="left" wrapText="1"/>
    </xf>
    <xf numFmtId="0" fontId="7" fillId="4" borderId="19" xfId="0" applyFont="1" applyFill="1" applyBorder="1" applyAlignment="1">
      <alignment horizontal="center" vertical="center" wrapText="1"/>
    </xf>
    <xf numFmtId="164" fontId="7" fillId="4" borderId="19" xfId="2" applyFont="1" applyFill="1" applyBorder="1" applyAlignment="1">
      <alignment horizontal="center" vertical="center"/>
    </xf>
    <xf numFmtId="0" fontId="7" fillId="4" borderId="4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16" fontId="7" fillId="0" borderId="1" xfId="0" quotePrefix="1" applyNumberFormat="1" applyFont="1" applyBorder="1" applyAlignment="1">
      <alignment horizontal="center" vertical="center"/>
    </xf>
    <xf numFmtId="0" fontId="7" fillId="3" borderId="1" xfId="0" applyFont="1" applyFill="1" applyBorder="1"/>
    <xf numFmtId="164" fontId="7" fillId="3" borderId="1" xfId="2" applyFont="1" applyFill="1" applyBorder="1" applyAlignment="1">
      <alignment horizontal="center" vertical="center"/>
    </xf>
    <xf numFmtId="0" fontId="12" fillId="3" borderId="1" xfId="0" applyFont="1" applyFill="1" applyBorder="1"/>
    <xf numFmtId="0" fontId="7" fillId="3" borderId="3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wrapText="1"/>
    </xf>
    <xf numFmtId="0" fontId="7" fillId="3" borderId="8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4" xfId="0" applyFont="1" applyFill="1" applyBorder="1" applyAlignment="1">
      <alignment vertical="top" wrapText="1"/>
    </xf>
    <xf numFmtId="164" fontId="7" fillId="3" borderId="4" xfId="2" applyFont="1" applyFill="1" applyBorder="1" applyAlignment="1">
      <alignment horizontal="center" vertical="center"/>
    </xf>
    <xf numFmtId="0" fontId="12" fillId="3" borderId="4" xfId="0" applyFont="1" applyFill="1" applyBorder="1"/>
    <xf numFmtId="44" fontId="7" fillId="0" borderId="0" xfId="0" applyNumberFormat="1" applyFont="1"/>
    <xf numFmtId="8" fontId="7" fillId="0" borderId="0" xfId="0" applyNumberFormat="1" applyFont="1"/>
    <xf numFmtId="167" fontId="10" fillId="0" borderId="0" xfId="0" applyNumberFormat="1" applyFont="1"/>
    <xf numFmtId="44" fontId="10" fillId="0" borderId="0" xfId="1" applyFont="1"/>
    <xf numFmtId="44" fontId="17" fillId="0" borderId="0" xfId="1" applyFont="1"/>
    <xf numFmtId="0" fontId="10" fillId="0" borderId="0" xfId="0" applyFont="1" applyAlignment="1">
      <alignment vertical="center"/>
    </xf>
    <xf numFmtId="44" fontId="17" fillId="0" borderId="0" xfId="1" applyFont="1" applyAlignment="1">
      <alignment wrapText="1"/>
    </xf>
    <xf numFmtId="0" fontId="10" fillId="0" borderId="0" xfId="0" applyFont="1" applyAlignment="1">
      <alignment wrapText="1"/>
    </xf>
    <xf numFmtId="168" fontId="10" fillId="0" borderId="0" xfId="0" applyNumberFormat="1" applyFont="1" applyAlignment="1">
      <alignment wrapText="1"/>
    </xf>
    <xf numFmtId="44" fontId="17" fillId="0" borderId="0" xfId="0" applyNumberFormat="1" applyFont="1"/>
    <xf numFmtId="0" fontId="15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center"/>
    </xf>
    <xf numFmtId="0" fontId="7" fillId="4" borderId="4" xfId="0" applyFont="1" applyFill="1" applyBorder="1" applyAlignment="1">
      <alignment horizontal="left" vertical="center" wrapText="1"/>
    </xf>
    <xf numFmtId="44" fontId="10" fillId="3" borderId="1" xfId="1" applyFont="1" applyFill="1" applyBorder="1"/>
    <xf numFmtId="44" fontId="10" fillId="3" borderId="1" xfId="1" applyFont="1" applyFill="1" applyBorder="1" applyAlignment="1">
      <alignment vertical="center"/>
    </xf>
    <xf numFmtId="8" fontId="10" fillId="3" borderId="1" xfId="1" applyNumberFormat="1" applyFont="1" applyFill="1" applyBorder="1"/>
    <xf numFmtId="8" fontId="10" fillId="3" borderId="4" xfId="1" applyNumberFormat="1" applyFont="1" applyFill="1" applyBorder="1"/>
    <xf numFmtId="44" fontId="10" fillId="8" borderId="1" xfId="1" applyFont="1" applyFill="1" applyBorder="1"/>
    <xf numFmtId="44" fontId="10" fillId="8" borderId="4" xfId="1" applyFont="1" applyFill="1" applyBorder="1"/>
    <xf numFmtId="44" fontId="10" fillId="4" borderId="3" xfId="1" applyFont="1" applyFill="1" applyBorder="1"/>
    <xf numFmtId="8" fontId="10" fillId="4" borderId="3" xfId="1" applyNumberFormat="1" applyFont="1" applyFill="1" applyBorder="1"/>
    <xf numFmtId="0" fontId="1" fillId="0" borderId="0" xfId="0" applyFont="1"/>
    <xf numFmtId="44" fontId="7" fillId="3" borderId="3" xfId="1" applyFont="1" applyFill="1" applyBorder="1"/>
    <xf numFmtId="0" fontId="12" fillId="3" borderId="3" xfId="0" applyFont="1" applyFill="1" applyBorder="1" applyAlignment="1">
      <alignment wrapText="1"/>
    </xf>
    <xf numFmtId="44" fontId="7" fillId="3" borderId="2" xfId="1" applyFont="1" applyFill="1" applyBorder="1" applyAlignment="1">
      <alignment horizontal="right" vertical="center"/>
    </xf>
    <xf numFmtId="8" fontId="7" fillId="3" borderId="2" xfId="1" applyNumberFormat="1" applyFont="1" applyFill="1" applyBorder="1" applyAlignment="1">
      <alignment horizontal="right" vertical="center"/>
    </xf>
    <xf numFmtId="44" fontId="7" fillId="3" borderId="14" xfId="1" applyFont="1" applyFill="1" applyBorder="1" applyAlignment="1">
      <alignment horizontal="center" vertical="center"/>
    </xf>
    <xf numFmtId="8" fontId="7" fillId="3" borderId="13" xfId="1" applyNumberFormat="1" applyFont="1" applyFill="1" applyBorder="1" applyAlignment="1">
      <alignment horizontal="right" vertical="center"/>
    </xf>
    <xf numFmtId="44" fontId="7" fillId="4" borderId="11" xfId="1" applyFont="1" applyFill="1" applyBorder="1" applyAlignment="1">
      <alignment horizontal="right" vertical="center"/>
    </xf>
    <xf numFmtId="2" fontId="7" fillId="4" borderId="14" xfId="0" applyNumberFormat="1" applyFont="1" applyFill="1" applyBorder="1" applyAlignment="1">
      <alignment horizontal="center" vertical="center"/>
    </xf>
    <xf numFmtId="44" fontId="7" fillId="4" borderId="3" xfId="1" applyFont="1" applyFill="1" applyBorder="1"/>
    <xf numFmtId="8" fontId="7" fillId="4" borderId="2" xfId="1" applyNumberFormat="1" applyFont="1" applyFill="1" applyBorder="1" applyAlignment="1">
      <alignment horizontal="right" vertical="center"/>
    </xf>
    <xf numFmtId="8" fontId="7" fillId="4" borderId="1" xfId="1" applyNumberFormat="1" applyFont="1" applyFill="1" applyBorder="1"/>
    <xf numFmtId="44" fontId="7" fillId="4" borderId="2" xfId="1" applyFont="1" applyFill="1" applyBorder="1" applyAlignment="1">
      <alignment horizontal="right" vertical="center"/>
    </xf>
    <xf numFmtId="44" fontId="7" fillId="4" borderId="13" xfId="1" applyFont="1" applyFill="1" applyBorder="1" applyAlignment="1">
      <alignment horizontal="right" vertical="center"/>
    </xf>
    <xf numFmtId="8" fontId="7" fillId="4" borderId="13" xfId="1" applyNumberFormat="1" applyFont="1" applyFill="1" applyBorder="1" applyAlignment="1">
      <alignment horizontal="right" vertical="center"/>
    </xf>
    <xf numFmtId="44" fontId="7" fillId="4" borderId="1" xfId="1" applyFont="1" applyFill="1" applyBorder="1"/>
    <xf numFmtId="2" fontId="7" fillId="4" borderId="15" xfId="0" applyNumberFormat="1" applyFont="1" applyFill="1" applyBorder="1" applyAlignment="1">
      <alignment vertical="center" wrapText="1"/>
    </xf>
    <xf numFmtId="44" fontId="7" fillId="4" borderId="4" xfId="1" applyFont="1" applyFill="1" applyBorder="1"/>
    <xf numFmtId="8" fontId="7" fillId="4" borderId="11" xfId="1" applyNumberFormat="1" applyFont="1" applyFill="1" applyBorder="1" applyAlignment="1">
      <alignment horizontal="right" vertical="center"/>
    </xf>
    <xf numFmtId="8" fontId="7" fillId="4" borderId="6" xfId="1" applyNumberFormat="1" applyFont="1" applyFill="1" applyBorder="1" applyAlignment="1">
      <alignment vertical="center"/>
    </xf>
    <xf numFmtId="8" fontId="7" fillId="4" borderId="22" xfId="1" applyNumberFormat="1" applyFont="1" applyFill="1" applyBorder="1" applyAlignment="1">
      <alignment horizontal="right" vertical="center"/>
    </xf>
    <xf numFmtId="8" fontId="7" fillId="4" borderId="19" xfId="1" applyNumberFormat="1" applyFont="1" applyFill="1" applyBorder="1"/>
    <xf numFmtId="165" fontId="7" fillId="4" borderId="15" xfId="1" applyNumberFormat="1" applyFont="1" applyFill="1" applyBorder="1" applyAlignment="1">
      <alignment vertical="center" wrapText="1"/>
    </xf>
    <xf numFmtId="8" fontId="7" fillId="4" borderId="13" xfId="1" applyNumberFormat="1" applyFont="1" applyFill="1" applyBorder="1" applyAlignment="1">
      <alignment horizontal="right"/>
    </xf>
    <xf numFmtId="8" fontId="7" fillId="4" borderId="4" xfId="1" applyNumberFormat="1" applyFont="1" applyFill="1" applyBorder="1"/>
    <xf numFmtId="8" fontId="7" fillId="4" borderId="6" xfId="1" applyNumberFormat="1" applyFont="1" applyFill="1" applyBorder="1"/>
    <xf numFmtId="44" fontId="7" fillId="4" borderId="22" xfId="1" applyFont="1" applyFill="1" applyBorder="1" applyAlignment="1">
      <alignment horizontal="right" vertical="center"/>
    </xf>
    <xf numFmtId="44" fontId="7" fillId="4" borderId="19" xfId="1" applyFont="1" applyFill="1" applyBorder="1"/>
    <xf numFmtId="44" fontId="7" fillId="4" borderId="13" xfId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8" borderId="7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left"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44" fontId="7" fillId="8" borderId="21" xfId="1" applyFont="1" applyFill="1" applyBorder="1" applyAlignment="1">
      <alignment horizontal="center" vertical="center"/>
    </xf>
    <xf numFmtId="44" fontId="7" fillId="8" borderId="14" xfId="1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/>
    </xf>
    <xf numFmtId="0" fontId="7" fillId="6" borderId="17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44" fontId="7" fillId="5" borderId="9" xfId="1" applyFont="1" applyFill="1" applyBorder="1" applyAlignment="1">
      <alignment horizontal="center" vertical="center" wrapText="1"/>
    </xf>
    <xf numFmtId="44" fontId="7" fillId="5" borderId="7" xfId="1" applyFont="1" applyFill="1" applyBorder="1" applyAlignment="1">
      <alignment horizontal="center" vertical="center" wrapText="1"/>
    </xf>
    <xf numFmtId="44" fontId="7" fillId="5" borderId="3" xfId="1" applyFont="1" applyFill="1" applyBorder="1" applyAlignment="1">
      <alignment horizontal="center" vertical="center" wrapText="1"/>
    </xf>
    <xf numFmtId="44" fontId="7" fillId="4" borderId="8" xfId="1" applyFont="1" applyFill="1" applyBorder="1" applyAlignment="1">
      <alignment horizontal="center" vertical="center"/>
    </xf>
    <xf numFmtId="44" fontId="7" fillId="4" borderId="5" xfId="1" applyFont="1" applyFill="1" applyBorder="1" applyAlignment="1">
      <alignment horizontal="center" vertical="center"/>
    </xf>
    <xf numFmtId="8" fontId="7" fillId="4" borderId="8" xfId="1" applyNumberFormat="1" applyFont="1" applyFill="1" applyBorder="1" applyAlignment="1">
      <alignment horizontal="right" vertical="center"/>
    </xf>
    <xf numFmtId="8" fontId="7" fillId="4" borderId="5" xfId="1" applyNumberFormat="1" applyFont="1" applyFill="1" applyBorder="1" applyAlignment="1">
      <alignment horizontal="right" vertical="center"/>
    </xf>
    <xf numFmtId="2" fontId="7" fillId="4" borderId="2" xfId="0" applyNumberFormat="1" applyFont="1" applyFill="1" applyBorder="1" applyAlignment="1">
      <alignment horizontal="center" vertical="center" wrapText="1"/>
    </xf>
    <xf numFmtId="2" fontId="10" fillId="4" borderId="23" xfId="0" applyNumberFormat="1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um@um.skoczow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P112"/>
  <sheetViews>
    <sheetView tabSelected="1" zoomScale="115" zoomScaleNormal="115" workbookViewId="0">
      <pane xSplit="2" ySplit="7" topLeftCell="C8" activePane="bottomRight" state="frozen"/>
      <selection pane="topRight" activeCell="C1" sqref="C1"/>
      <selection pane="bottomLeft" activeCell="A4" sqref="A4"/>
      <selection pane="bottomRight" activeCell="H82" sqref="H82"/>
    </sheetView>
  </sheetViews>
  <sheetFormatPr defaultColWidth="9" defaultRowHeight="12.75"/>
  <cols>
    <col min="1" max="1" width="4.625" style="1" customWidth="1"/>
    <col min="2" max="2" width="49.875" style="1" bestFit="1" customWidth="1"/>
    <col min="3" max="3" width="39.25" style="1" customWidth="1"/>
    <col min="4" max="4" width="28" style="1" customWidth="1"/>
    <col min="5" max="5" width="19.5" style="1" bestFit="1" customWidth="1"/>
    <col min="6" max="6" width="16.875" style="1" bestFit="1" customWidth="1"/>
    <col min="7" max="7" width="27" style="1" customWidth="1"/>
    <col min="8" max="8" width="48.5" style="1" customWidth="1"/>
    <col min="9" max="9" width="20.5" style="1" customWidth="1"/>
    <col min="10" max="10" width="16" style="1" customWidth="1"/>
    <col min="11" max="11" width="14.75" style="1" customWidth="1"/>
    <col min="12" max="12" width="12.5" style="1" customWidth="1"/>
    <col min="13" max="13" width="12.625" style="1" customWidth="1"/>
    <col min="14" max="14" width="13.25" style="1" bestFit="1" customWidth="1"/>
    <col min="15" max="15" width="12" style="1" bestFit="1" customWidth="1"/>
    <col min="16" max="16" width="13" style="1" bestFit="1" customWidth="1"/>
    <col min="17" max="16384" width="9" style="1"/>
  </cols>
  <sheetData>
    <row r="1" spans="1:13" ht="15">
      <c r="A1" s="30" t="s">
        <v>190</v>
      </c>
      <c r="B1" s="31"/>
      <c r="C1" s="31"/>
    </row>
    <row r="2" spans="1:13" ht="15">
      <c r="A2" s="160" t="s">
        <v>195</v>
      </c>
      <c r="B2" s="32"/>
      <c r="C2" s="32"/>
    </row>
    <row r="3" spans="1:13" ht="15">
      <c r="A3" s="33" t="s">
        <v>186</v>
      </c>
      <c r="B3" s="32"/>
      <c r="C3" s="32"/>
    </row>
    <row r="4" spans="1:13" ht="15">
      <c r="A4" s="33" t="s">
        <v>187</v>
      </c>
      <c r="B4" s="32"/>
      <c r="C4" s="32"/>
    </row>
    <row r="5" spans="1:13" ht="15">
      <c r="A5" s="32" t="s">
        <v>188</v>
      </c>
      <c r="B5" s="32"/>
      <c r="C5" s="32" t="s">
        <v>189</v>
      </c>
    </row>
    <row r="6" spans="1:13" ht="29.25" customHeight="1">
      <c r="A6" s="22"/>
      <c r="K6" s="213"/>
      <c r="L6" s="213"/>
      <c r="M6" s="213"/>
    </row>
    <row r="7" spans="1:13" s="53" customFormat="1" ht="26.25" thickBot="1">
      <c r="A7" s="116" t="s">
        <v>0</v>
      </c>
      <c r="B7" s="116" t="s">
        <v>1</v>
      </c>
      <c r="C7" s="117" t="s">
        <v>2</v>
      </c>
      <c r="D7" s="118" t="s">
        <v>3</v>
      </c>
      <c r="E7" s="118" t="s">
        <v>85</v>
      </c>
      <c r="F7" s="119" t="s">
        <v>73</v>
      </c>
      <c r="G7" s="118" t="s">
        <v>179</v>
      </c>
      <c r="H7" s="118" t="s">
        <v>180</v>
      </c>
      <c r="I7" s="146"/>
      <c r="J7" s="146"/>
      <c r="K7" s="138"/>
      <c r="L7" s="7"/>
      <c r="M7" s="7"/>
    </row>
    <row r="8" spans="1:13" s="53" customFormat="1" ht="22.5">
      <c r="A8" s="46">
        <v>1</v>
      </c>
      <c r="B8" s="120" t="s">
        <v>7</v>
      </c>
      <c r="C8" s="120" t="s">
        <v>32</v>
      </c>
      <c r="D8" s="121"/>
      <c r="E8" s="122" t="s">
        <v>75</v>
      </c>
      <c r="F8" s="165" t="s">
        <v>75</v>
      </c>
      <c r="G8" s="161">
        <f>(1384614.15+16219.74+194182.49+2525967.13+343612.35+7152.15+1169909.92+13695494.17+9904749.14+219744.48+395137.06+100373.76+15496+528900+339480)*1.15</f>
        <v>35467187.421000004</v>
      </c>
      <c r="H8" s="162" t="s">
        <v>198</v>
      </c>
      <c r="I8" s="147"/>
      <c r="J8" s="137"/>
      <c r="K8" s="7"/>
      <c r="L8" s="139"/>
      <c r="M8" s="140"/>
    </row>
    <row r="9" spans="1:13" s="53" customFormat="1">
      <c r="A9" s="123" t="s">
        <v>149</v>
      </c>
      <c r="B9" s="120"/>
      <c r="C9" s="120"/>
      <c r="D9" s="124" t="s">
        <v>71</v>
      </c>
      <c r="E9" s="125">
        <v>793.42</v>
      </c>
      <c r="F9" s="163">
        <f>4560000*1.15</f>
        <v>5244000</v>
      </c>
      <c r="G9" s="152"/>
      <c r="H9" s="126"/>
      <c r="I9" s="136"/>
      <c r="J9" s="147"/>
      <c r="K9" s="139"/>
      <c r="L9" s="7"/>
      <c r="M9" s="7"/>
    </row>
    <row r="10" spans="1:13" s="53" customFormat="1">
      <c r="A10" s="54" t="s">
        <v>150</v>
      </c>
      <c r="B10" s="120"/>
      <c r="C10" s="120"/>
      <c r="D10" s="124" t="s">
        <v>54</v>
      </c>
      <c r="E10" s="125">
        <v>53</v>
      </c>
      <c r="F10" s="163">
        <f>185500*1.15</f>
        <v>213324.99999999997</v>
      </c>
      <c r="G10" s="152"/>
      <c r="H10" s="126"/>
      <c r="I10" s="136"/>
      <c r="J10" s="147"/>
      <c r="K10" s="139"/>
      <c r="L10" s="7"/>
      <c r="M10" s="7"/>
    </row>
    <row r="11" spans="1:13" s="50" customFormat="1">
      <c r="A11" s="54" t="s">
        <v>151</v>
      </c>
      <c r="B11" s="127"/>
      <c r="C11" s="127"/>
      <c r="D11" s="128" t="s">
        <v>72</v>
      </c>
      <c r="E11" s="125">
        <v>1141.8</v>
      </c>
      <c r="F11" s="163">
        <f>11500000*1.15</f>
        <v>13224999.999999998</v>
      </c>
      <c r="G11" s="153"/>
      <c r="H11" s="129"/>
      <c r="I11" s="136"/>
      <c r="J11" s="148"/>
      <c r="K11" s="139"/>
      <c r="L11" s="141"/>
      <c r="M11" s="141"/>
    </row>
    <row r="12" spans="1:13" s="53" customFormat="1">
      <c r="A12" s="54" t="s">
        <v>152</v>
      </c>
      <c r="B12" s="120"/>
      <c r="C12" s="120"/>
      <c r="D12" s="124" t="s">
        <v>55</v>
      </c>
      <c r="E12" s="125">
        <v>15</v>
      </c>
      <c r="F12" s="163">
        <f>52500*1.15</f>
        <v>60374.999999999993</v>
      </c>
      <c r="G12" s="152"/>
      <c r="H12" s="126"/>
      <c r="I12" s="136"/>
      <c r="J12" s="147"/>
      <c r="K12" s="139"/>
      <c r="L12" s="7"/>
      <c r="M12" s="7"/>
    </row>
    <row r="13" spans="1:13" s="53" customFormat="1" ht="25.5">
      <c r="A13" s="54" t="s">
        <v>153</v>
      </c>
      <c r="B13" s="120"/>
      <c r="C13" s="120"/>
      <c r="D13" s="130" t="s">
        <v>56</v>
      </c>
      <c r="E13" s="125">
        <v>240.4</v>
      </c>
      <c r="F13" s="163">
        <f>844000*1.15</f>
        <v>970599.99999999988</v>
      </c>
      <c r="G13" s="152"/>
      <c r="H13" s="126"/>
      <c r="I13" s="136"/>
      <c r="J13" s="147"/>
      <c r="K13" s="139"/>
      <c r="L13" s="7"/>
      <c r="M13" s="7"/>
    </row>
    <row r="14" spans="1:13" s="53" customFormat="1" ht="14.25" customHeight="1">
      <c r="A14" s="54" t="s">
        <v>154</v>
      </c>
      <c r="B14" s="120"/>
      <c r="C14" s="120"/>
      <c r="D14" s="130" t="s">
        <v>57</v>
      </c>
      <c r="E14" s="125">
        <v>77.13</v>
      </c>
      <c r="F14" s="163">
        <f>269955*1.15</f>
        <v>310448.25</v>
      </c>
      <c r="G14" s="152"/>
      <c r="H14" s="126"/>
      <c r="I14" s="136"/>
      <c r="J14" s="147"/>
      <c r="K14" s="139"/>
      <c r="L14" s="7"/>
      <c r="M14" s="7"/>
    </row>
    <row r="15" spans="1:13" s="53" customFormat="1" ht="25.5">
      <c r="A15" s="54" t="s">
        <v>155</v>
      </c>
      <c r="B15" s="120"/>
      <c r="C15" s="120"/>
      <c r="D15" s="130" t="s">
        <v>172</v>
      </c>
      <c r="E15" s="125">
        <v>591.1</v>
      </c>
      <c r="F15" s="163">
        <f>2068850*1.15</f>
        <v>2379177.5</v>
      </c>
      <c r="G15" s="152"/>
      <c r="H15" s="126"/>
      <c r="I15" s="136"/>
      <c r="J15" s="147"/>
      <c r="K15" s="139"/>
      <c r="L15" s="7"/>
      <c r="M15" s="7"/>
    </row>
    <row r="16" spans="1:13" s="53" customFormat="1">
      <c r="A16" s="54" t="s">
        <v>156</v>
      </c>
      <c r="B16" s="120"/>
      <c r="C16" s="120"/>
      <c r="D16" s="124" t="s">
        <v>58</v>
      </c>
      <c r="E16" s="125">
        <v>434.57</v>
      </c>
      <c r="F16" s="163">
        <f>(1303710+457918.13)*1.15</f>
        <v>2025872.3494999998</v>
      </c>
      <c r="G16" s="152"/>
      <c r="H16" s="126" t="s">
        <v>185</v>
      </c>
      <c r="I16" s="136"/>
      <c r="J16" s="147"/>
      <c r="K16" s="139"/>
      <c r="L16" s="7"/>
      <c r="M16" s="7"/>
    </row>
    <row r="17" spans="1:13" s="53" customFormat="1">
      <c r="A17" s="54" t="s">
        <v>157</v>
      </c>
      <c r="B17" s="120"/>
      <c r="C17" s="120"/>
      <c r="D17" s="124" t="s">
        <v>59</v>
      </c>
      <c r="E17" s="125">
        <v>1132.4000000000001</v>
      </c>
      <c r="F17" s="163">
        <f>4420000*1.15</f>
        <v>5083000</v>
      </c>
      <c r="G17" s="152"/>
      <c r="H17" s="126"/>
      <c r="I17" s="136"/>
      <c r="J17" s="147"/>
      <c r="K17" s="139"/>
      <c r="L17" s="7"/>
      <c r="M17" s="7"/>
    </row>
    <row r="18" spans="1:13" s="53" customFormat="1" ht="25.5">
      <c r="A18" s="54" t="s">
        <v>158</v>
      </c>
      <c r="B18" s="120"/>
      <c r="C18" s="120"/>
      <c r="D18" s="130" t="s">
        <v>173</v>
      </c>
      <c r="E18" s="125">
        <v>314.7</v>
      </c>
      <c r="F18" s="163">
        <f>1136362.92*1.15</f>
        <v>1306817.3579999998</v>
      </c>
      <c r="G18" s="152"/>
      <c r="H18" s="126"/>
      <c r="I18" s="136"/>
      <c r="J18" s="147"/>
      <c r="K18" s="139"/>
      <c r="L18" s="7"/>
      <c r="M18" s="7"/>
    </row>
    <row r="19" spans="1:13" s="53" customFormat="1">
      <c r="A19" s="54" t="s">
        <v>159</v>
      </c>
      <c r="B19" s="120"/>
      <c r="C19" s="120"/>
      <c r="D19" s="124" t="s">
        <v>74</v>
      </c>
      <c r="E19" s="125">
        <v>477.06</v>
      </c>
      <c r="F19" s="163">
        <f>3000000*1.15</f>
        <v>3449999.9999999995</v>
      </c>
      <c r="G19" s="152"/>
      <c r="H19" s="126"/>
      <c r="I19" s="136"/>
      <c r="J19" s="147"/>
      <c r="K19" s="139"/>
      <c r="L19" s="7"/>
      <c r="M19" s="7"/>
    </row>
    <row r="20" spans="1:13" s="53" customFormat="1" ht="38.25">
      <c r="A20" s="54" t="s">
        <v>160</v>
      </c>
      <c r="B20" s="120"/>
      <c r="C20" s="120"/>
      <c r="D20" s="130" t="s">
        <v>60</v>
      </c>
      <c r="E20" s="125">
        <v>212.16</v>
      </c>
      <c r="F20" s="163">
        <f>742560*1.15</f>
        <v>853943.99999999988</v>
      </c>
      <c r="G20" s="152"/>
      <c r="H20" s="126"/>
      <c r="I20" s="136"/>
      <c r="J20" s="147"/>
      <c r="K20" s="139"/>
      <c r="L20" s="7"/>
      <c r="M20" s="7"/>
    </row>
    <row r="21" spans="1:13" s="53" customFormat="1">
      <c r="A21" s="54" t="s">
        <v>161</v>
      </c>
      <c r="B21" s="120"/>
      <c r="C21" s="120"/>
      <c r="D21" s="124" t="s">
        <v>61</v>
      </c>
      <c r="E21" s="125">
        <v>18.7</v>
      </c>
      <c r="F21" s="163">
        <f>65450*1.15</f>
        <v>75267.5</v>
      </c>
      <c r="G21" s="152"/>
      <c r="H21" s="126"/>
      <c r="I21" s="136"/>
      <c r="J21" s="147"/>
      <c r="K21" s="139"/>
      <c r="L21" s="7"/>
      <c r="M21" s="7"/>
    </row>
    <row r="22" spans="1:13" s="53" customFormat="1" ht="25.5">
      <c r="A22" s="54" t="s">
        <v>162</v>
      </c>
      <c r="B22" s="120"/>
      <c r="C22" s="120"/>
      <c r="D22" s="130" t="s">
        <v>62</v>
      </c>
      <c r="E22" s="125">
        <v>16.239999999999998</v>
      </c>
      <c r="F22" s="163">
        <f>56840*1.15</f>
        <v>65365.999999999993</v>
      </c>
      <c r="G22" s="152"/>
      <c r="H22" s="126"/>
      <c r="I22" s="136"/>
      <c r="J22" s="147"/>
      <c r="K22" s="139"/>
      <c r="L22" s="7"/>
      <c r="M22" s="7"/>
    </row>
    <row r="23" spans="1:13" s="53" customFormat="1">
      <c r="A23" s="54" t="s">
        <v>163</v>
      </c>
      <c r="B23" s="120"/>
      <c r="C23" s="120"/>
      <c r="D23" s="130" t="s">
        <v>63</v>
      </c>
      <c r="E23" s="125">
        <v>15</v>
      </c>
      <c r="F23" s="163">
        <f>8134.76*1.15</f>
        <v>9354.9740000000002</v>
      </c>
      <c r="G23" s="152"/>
      <c r="H23" s="126"/>
      <c r="I23" s="136"/>
      <c r="J23" s="147"/>
      <c r="K23" s="139"/>
      <c r="L23" s="7"/>
      <c r="M23" s="7"/>
    </row>
    <row r="24" spans="1:13" s="53" customFormat="1">
      <c r="A24" s="54" t="s">
        <v>164</v>
      </c>
      <c r="B24" s="120"/>
      <c r="C24" s="120"/>
      <c r="D24" s="130" t="s">
        <v>64</v>
      </c>
      <c r="E24" s="125">
        <v>25.36</v>
      </c>
      <c r="F24" s="163">
        <f>4097.6*1.15</f>
        <v>4712.24</v>
      </c>
      <c r="G24" s="152"/>
      <c r="H24" s="126"/>
      <c r="I24" s="136"/>
      <c r="J24" s="147"/>
      <c r="K24" s="139"/>
      <c r="L24" s="7"/>
      <c r="M24" s="7"/>
    </row>
    <row r="25" spans="1:13" s="53" customFormat="1">
      <c r="A25" s="54" t="s">
        <v>165</v>
      </c>
      <c r="B25" s="120"/>
      <c r="C25" s="120"/>
      <c r="D25" s="130" t="s">
        <v>65</v>
      </c>
      <c r="E25" s="125">
        <v>60</v>
      </c>
      <c r="F25" s="163">
        <f>3568.48*1.15</f>
        <v>4103.7519999999995</v>
      </c>
      <c r="G25" s="152"/>
      <c r="H25" s="126"/>
      <c r="I25" s="136"/>
      <c r="J25" s="147"/>
      <c r="K25" s="139"/>
      <c r="L25" s="7"/>
      <c r="M25" s="7"/>
    </row>
    <row r="26" spans="1:13" s="53" customFormat="1">
      <c r="A26" s="54" t="s">
        <v>197</v>
      </c>
      <c r="B26" s="120"/>
      <c r="C26" s="120"/>
      <c r="D26" s="130" t="s">
        <v>66</v>
      </c>
      <c r="E26" s="125">
        <v>44.17</v>
      </c>
      <c r="F26" s="163">
        <f>185000*1.15</f>
        <v>212749.99999999997</v>
      </c>
      <c r="G26" s="152"/>
      <c r="H26" s="126"/>
      <c r="I26" s="136"/>
      <c r="J26" s="147"/>
      <c r="K26" s="139"/>
      <c r="L26" s="7"/>
      <c r="M26" s="7"/>
    </row>
    <row r="27" spans="1:13" s="53" customFormat="1">
      <c r="A27" s="54" t="s">
        <v>166</v>
      </c>
      <c r="B27" s="120"/>
      <c r="C27" s="120"/>
      <c r="D27" s="130" t="s">
        <v>67</v>
      </c>
      <c r="E27" s="125">
        <v>487.22</v>
      </c>
      <c r="F27" s="163">
        <f>1705270*1.15</f>
        <v>1961060.4999999998</v>
      </c>
      <c r="G27" s="152"/>
      <c r="H27" s="126"/>
      <c r="I27" s="136"/>
      <c r="J27" s="147"/>
      <c r="K27" s="139"/>
      <c r="L27" s="7"/>
      <c r="M27" s="7"/>
    </row>
    <row r="28" spans="1:13" s="53" customFormat="1">
      <c r="A28" s="54" t="s">
        <v>167</v>
      </c>
      <c r="B28" s="120"/>
      <c r="C28" s="120"/>
      <c r="D28" s="130" t="s">
        <v>68</v>
      </c>
      <c r="E28" s="125">
        <v>1146.4000000000001</v>
      </c>
      <c r="F28" s="163">
        <f>4012400*1.15</f>
        <v>4614260</v>
      </c>
      <c r="G28" s="152"/>
      <c r="H28" s="126"/>
      <c r="I28" s="136"/>
      <c r="J28" s="147"/>
      <c r="K28" s="139"/>
      <c r="L28" s="7"/>
      <c r="M28" s="7"/>
    </row>
    <row r="29" spans="1:13" s="53" customFormat="1">
      <c r="A29" s="54" t="s">
        <v>168</v>
      </c>
      <c r="B29" s="120"/>
      <c r="C29" s="120"/>
      <c r="D29" s="130" t="s">
        <v>69</v>
      </c>
      <c r="E29" s="125">
        <v>600</v>
      </c>
      <c r="F29" s="163">
        <f>2100000*1.15</f>
        <v>2415000</v>
      </c>
      <c r="G29" s="152"/>
      <c r="H29" s="126"/>
      <c r="I29" s="136"/>
      <c r="J29" s="147"/>
      <c r="K29" s="139"/>
      <c r="L29" s="7"/>
      <c r="M29" s="7"/>
    </row>
    <row r="30" spans="1:13" s="53" customFormat="1">
      <c r="A30" s="54" t="s">
        <v>169</v>
      </c>
      <c r="B30" s="131"/>
      <c r="C30" s="131"/>
      <c r="D30" s="130" t="s">
        <v>70</v>
      </c>
      <c r="E30" s="125">
        <v>295.77999999999997</v>
      </c>
      <c r="F30" s="163">
        <f>1035230*1.15</f>
        <v>1190514.5</v>
      </c>
      <c r="G30" s="152"/>
      <c r="H30" s="126"/>
      <c r="I30" s="136"/>
      <c r="J30" s="147"/>
      <c r="K30" s="139"/>
      <c r="L30" s="7"/>
      <c r="M30" s="7"/>
    </row>
    <row r="31" spans="1:13" s="53" customFormat="1">
      <c r="A31" s="54" t="s">
        <v>170</v>
      </c>
      <c r="B31" s="131"/>
      <c r="C31" s="131"/>
      <c r="D31" s="132" t="s">
        <v>43</v>
      </c>
      <c r="E31" s="125">
        <v>1796.6</v>
      </c>
      <c r="F31" s="164">
        <f>6288100*1.15</f>
        <v>7231314.9999999991</v>
      </c>
      <c r="G31" s="154"/>
      <c r="H31" s="126"/>
      <c r="I31" s="136"/>
      <c r="J31" s="137"/>
      <c r="K31" s="139"/>
      <c r="L31" s="139"/>
      <c r="M31" s="7"/>
    </row>
    <row r="32" spans="1:13" s="53" customFormat="1" ht="26.25" thickBot="1">
      <c r="A32" s="69" t="s">
        <v>171</v>
      </c>
      <c r="B32" s="133"/>
      <c r="C32" s="133"/>
      <c r="D32" s="133" t="s">
        <v>178</v>
      </c>
      <c r="E32" s="134"/>
      <c r="F32" s="166">
        <f>(148490.3+132517.44)*1.15</f>
        <v>323158.90099999995</v>
      </c>
      <c r="G32" s="155"/>
      <c r="H32" s="135"/>
      <c r="I32" s="136"/>
      <c r="K32" s="139"/>
      <c r="L32" s="7"/>
      <c r="M32" s="7"/>
    </row>
    <row r="33" spans="1:13" s="53" customFormat="1" ht="22.5">
      <c r="A33" s="189">
        <v>2</v>
      </c>
      <c r="B33" s="191" t="s">
        <v>8</v>
      </c>
      <c r="C33" s="191" t="s">
        <v>33</v>
      </c>
      <c r="D33" s="209" t="s">
        <v>84</v>
      </c>
      <c r="E33" s="211" t="s">
        <v>75</v>
      </c>
      <c r="F33" s="197" t="s">
        <v>75</v>
      </c>
      <c r="G33" s="51">
        <f>(98064.98+259313.59)*1.15</f>
        <v>410985.35550000001</v>
      </c>
      <c r="H33" s="52" t="s">
        <v>196</v>
      </c>
      <c r="I33" s="149"/>
      <c r="J33" s="137"/>
      <c r="K33" s="7"/>
      <c r="L33" s="139"/>
      <c r="M33" s="142"/>
    </row>
    <row r="34" spans="1:13" s="53" customFormat="1">
      <c r="A34" s="189"/>
      <c r="B34" s="191"/>
      <c r="C34" s="191"/>
      <c r="D34" s="209"/>
      <c r="E34" s="211"/>
      <c r="F34" s="197"/>
      <c r="G34" s="51">
        <f>16499*1.15</f>
        <v>18973.849999999999</v>
      </c>
      <c r="H34" s="52" t="s">
        <v>181</v>
      </c>
      <c r="I34" s="149"/>
      <c r="J34" s="137"/>
      <c r="K34" s="7"/>
      <c r="L34" s="139"/>
      <c r="M34" s="7"/>
    </row>
    <row r="35" spans="1:13" s="53" customFormat="1">
      <c r="A35" s="189"/>
      <c r="B35" s="191"/>
      <c r="C35" s="191"/>
      <c r="D35" s="209"/>
      <c r="E35" s="211"/>
      <c r="F35" s="197"/>
      <c r="G35" s="51">
        <f>58930.34*1.15</f>
        <v>67769.890999999989</v>
      </c>
      <c r="H35" s="52" t="s">
        <v>182</v>
      </c>
      <c r="I35" s="149"/>
      <c r="J35" s="137"/>
      <c r="K35" s="7"/>
      <c r="L35" s="139"/>
      <c r="M35" s="7"/>
    </row>
    <row r="36" spans="1:13" s="53" customFormat="1" ht="33.75">
      <c r="A36" s="190"/>
      <c r="B36" s="192"/>
      <c r="C36" s="192"/>
      <c r="D36" s="210"/>
      <c r="E36" s="212"/>
      <c r="F36" s="198"/>
      <c r="G36" s="59">
        <f>56103199.63*1.15</f>
        <v>64518679.574499995</v>
      </c>
      <c r="H36" s="62" t="s">
        <v>183</v>
      </c>
      <c r="I36" s="149"/>
      <c r="J36" s="137"/>
      <c r="K36" s="7"/>
      <c r="L36" s="139"/>
      <c r="M36" s="7"/>
    </row>
    <row r="37" spans="1:13" s="53" customFormat="1">
      <c r="A37" s="54" t="s">
        <v>46</v>
      </c>
      <c r="B37" s="63" t="s">
        <v>86</v>
      </c>
      <c r="C37" s="55"/>
      <c r="D37" s="56" t="s">
        <v>87</v>
      </c>
      <c r="E37" s="61">
        <v>114.45</v>
      </c>
      <c r="F37" s="58">
        <f>400575*1.15</f>
        <v>460661.24999999994</v>
      </c>
      <c r="G37" s="156"/>
      <c r="H37" s="62"/>
      <c r="I37" s="136"/>
      <c r="J37" s="149"/>
      <c r="K37" s="139"/>
      <c r="L37" s="7"/>
      <c r="M37" s="7"/>
    </row>
    <row r="38" spans="1:13" s="53" customFormat="1">
      <c r="A38" s="54" t="s">
        <v>47</v>
      </c>
      <c r="B38" s="55" t="s">
        <v>88</v>
      </c>
      <c r="C38" s="55"/>
      <c r="D38" s="56" t="s">
        <v>87</v>
      </c>
      <c r="E38" s="61">
        <v>147.5</v>
      </c>
      <c r="F38" s="58">
        <f>516250*1.15</f>
        <v>593687.5</v>
      </c>
      <c r="G38" s="156"/>
      <c r="H38" s="60"/>
      <c r="I38" s="136"/>
      <c r="J38" s="147"/>
      <c r="K38" s="139"/>
      <c r="L38" s="7"/>
      <c r="M38" s="7"/>
    </row>
    <row r="39" spans="1:13" s="53" customFormat="1">
      <c r="A39" s="54" t="s">
        <v>48</v>
      </c>
      <c r="B39" s="55" t="s">
        <v>81</v>
      </c>
      <c r="C39" s="55"/>
      <c r="D39" s="56" t="s">
        <v>87</v>
      </c>
      <c r="E39" s="61">
        <v>152</v>
      </c>
      <c r="F39" s="58">
        <f>152000*1.15</f>
        <v>174800</v>
      </c>
      <c r="G39" s="156"/>
      <c r="H39" s="60"/>
      <c r="I39" s="136"/>
      <c r="J39" s="147"/>
      <c r="K39" s="139"/>
      <c r="L39" s="7"/>
      <c r="M39" s="7"/>
    </row>
    <row r="40" spans="1:13" s="53" customFormat="1">
      <c r="A40" s="54" t="s">
        <v>49</v>
      </c>
      <c r="B40" s="55" t="s">
        <v>89</v>
      </c>
      <c r="C40" s="55"/>
      <c r="D40" s="56" t="s">
        <v>87</v>
      </c>
      <c r="E40" s="61">
        <v>367.6</v>
      </c>
      <c r="F40" s="58">
        <f>1286600*1.15</f>
        <v>1479590</v>
      </c>
      <c r="G40" s="156"/>
      <c r="H40" s="60"/>
      <c r="I40" s="136"/>
      <c r="J40" s="147"/>
      <c r="K40" s="139"/>
      <c r="L40" s="7"/>
      <c r="M40" s="7"/>
    </row>
    <row r="41" spans="1:13" s="53" customFormat="1">
      <c r="A41" s="54" t="s">
        <v>50</v>
      </c>
      <c r="B41" s="55" t="s">
        <v>81</v>
      </c>
      <c r="C41" s="55"/>
      <c r="D41" s="56" t="s">
        <v>87</v>
      </c>
      <c r="E41" s="61">
        <v>77.099999999999994</v>
      </c>
      <c r="F41" s="58">
        <f>77100*1.15</f>
        <v>88665</v>
      </c>
      <c r="G41" s="156"/>
      <c r="H41" s="60"/>
      <c r="I41" s="136"/>
      <c r="J41" s="147"/>
      <c r="K41" s="139"/>
      <c r="L41" s="7"/>
      <c r="M41" s="7"/>
    </row>
    <row r="42" spans="1:13" s="53" customFormat="1">
      <c r="A42" s="54" t="s">
        <v>51</v>
      </c>
      <c r="B42" s="55" t="s">
        <v>82</v>
      </c>
      <c r="C42" s="55"/>
      <c r="D42" s="56" t="s">
        <v>135</v>
      </c>
      <c r="E42" s="61">
        <v>60</v>
      </c>
      <c r="F42" s="58">
        <f>210000*1.15</f>
        <v>241499.99999999997</v>
      </c>
      <c r="G42" s="156"/>
      <c r="H42" s="60"/>
      <c r="I42" s="136"/>
      <c r="J42" s="147"/>
      <c r="K42" s="139"/>
      <c r="L42" s="7"/>
      <c r="M42" s="7"/>
    </row>
    <row r="43" spans="1:13" s="53" customFormat="1">
      <c r="A43" s="54" t="s">
        <v>52</v>
      </c>
      <c r="B43" s="55" t="s">
        <v>90</v>
      </c>
      <c r="C43" s="55"/>
      <c r="D43" s="56" t="s">
        <v>91</v>
      </c>
      <c r="E43" s="57"/>
      <c r="F43" s="58">
        <f>60000*1.15</f>
        <v>69000</v>
      </c>
      <c r="G43" s="156"/>
      <c r="H43" s="60"/>
      <c r="I43" s="136"/>
      <c r="J43" s="147"/>
      <c r="K43" s="139"/>
      <c r="L43" s="7"/>
      <c r="M43" s="7"/>
    </row>
    <row r="44" spans="1:13" s="53" customFormat="1" ht="13.5" thickBot="1">
      <c r="A44" s="69" t="s">
        <v>53</v>
      </c>
      <c r="B44" s="70" t="s">
        <v>83</v>
      </c>
      <c r="C44" s="70"/>
      <c r="D44" s="71" t="s">
        <v>136</v>
      </c>
      <c r="E44" s="72"/>
      <c r="F44" s="73">
        <f>59860.69*1.15</f>
        <v>68839.7935</v>
      </c>
      <c r="G44" s="157"/>
      <c r="H44" s="74"/>
      <c r="I44" s="136"/>
      <c r="J44" s="147"/>
      <c r="K44" s="139"/>
      <c r="L44" s="7"/>
      <c r="M44" s="7"/>
    </row>
    <row r="45" spans="1:13" s="2" customFormat="1">
      <c r="A45" s="38">
        <v>3</v>
      </c>
      <c r="B45" s="39" t="s">
        <v>9</v>
      </c>
      <c r="C45" s="39" t="s">
        <v>34</v>
      </c>
      <c r="D45" s="40" t="s">
        <v>96</v>
      </c>
      <c r="E45" s="41"/>
      <c r="F45" s="42"/>
      <c r="G45" s="214">
        <f>6467110.75*1.15</f>
        <v>7437177.3624999998</v>
      </c>
      <c r="H45" s="43"/>
      <c r="I45" s="149"/>
      <c r="J45" s="137"/>
      <c r="K45" s="143"/>
      <c r="L45" s="143"/>
      <c r="M45" s="142"/>
    </row>
    <row r="46" spans="1:13" s="2" customFormat="1">
      <c r="A46" s="20" t="s">
        <v>76</v>
      </c>
      <c r="B46" s="11" t="s">
        <v>92</v>
      </c>
      <c r="C46" s="11"/>
      <c r="D46" s="12" t="s">
        <v>34</v>
      </c>
      <c r="E46" s="13">
        <v>4159.16</v>
      </c>
      <c r="F46" s="23">
        <f>8000000*1.15</f>
        <v>9200000</v>
      </c>
      <c r="G46" s="215"/>
      <c r="H46" s="26"/>
      <c r="I46" s="136"/>
      <c r="J46" s="149"/>
      <c r="K46" s="139"/>
      <c r="L46" s="144"/>
      <c r="M46" s="143"/>
    </row>
    <row r="47" spans="1:13" s="2" customFormat="1">
      <c r="A47" s="20" t="s">
        <v>77</v>
      </c>
      <c r="B47" s="11" t="s">
        <v>93</v>
      </c>
      <c r="C47" s="11"/>
      <c r="D47" s="12" t="s">
        <v>94</v>
      </c>
      <c r="E47" s="13">
        <v>749.13</v>
      </c>
      <c r="F47" s="23">
        <f>8323179.66*1.15</f>
        <v>9571656.6089999992</v>
      </c>
      <c r="G47" s="215"/>
      <c r="H47" s="26"/>
      <c r="I47" s="136"/>
      <c r="J47" s="149"/>
      <c r="K47" s="139"/>
      <c r="L47" s="143"/>
      <c r="M47" s="143"/>
    </row>
    <row r="48" spans="1:13" s="2" customFormat="1">
      <c r="A48" s="21" t="s">
        <v>78</v>
      </c>
      <c r="B48" s="14" t="s">
        <v>95</v>
      </c>
      <c r="C48" s="14"/>
      <c r="D48" s="15" t="s">
        <v>94</v>
      </c>
      <c r="E48" s="16">
        <v>540</v>
      </c>
      <c r="F48" s="24">
        <f>(1500000+4402772.57)*1.15</f>
        <v>6788188.4555000002</v>
      </c>
      <c r="G48" s="215"/>
      <c r="H48" s="27"/>
      <c r="I48" s="136"/>
      <c r="J48" s="149"/>
      <c r="K48" s="139"/>
      <c r="L48" s="143"/>
      <c r="M48" s="143"/>
    </row>
    <row r="49" spans="1:16" s="2" customFormat="1">
      <c r="A49" s="20" t="s">
        <v>79</v>
      </c>
      <c r="B49" s="11" t="s">
        <v>97</v>
      </c>
      <c r="C49" s="11"/>
      <c r="D49" s="12" t="s">
        <v>94</v>
      </c>
      <c r="E49" s="13">
        <v>44.24</v>
      </c>
      <c r="F49" s="23">
        <f>98643.27*1.15</f>
        <v>113439.76049999999</v>
      </c>
      <c r="G49" s="215"/>
      <c r="H49" s="26"/>
      <c r="I49" s="136"/>
      <c r="J49" s="149"/>
      <c r="K49" s="139"/>
      <c r="L49" s="143"/>
      <c r="M49" s="143"/>
    </row>
    <row r="50" spans="1:16" s="2" customFormat="1" ht="25.5">
      <c r="A50" s="20" t="s">
        <v>80</v>
      </c>
      <c r="B50" s="11" t="s">
        <v>98</v>
      </c>
      <c r="C50" s="11"/>
      <c r="D50" s="12" t="s">
        <v>99</v>
      </c>
      <c r="E50" s="13">
        <v>23.9</v>
      </c>
      <c r="F50" s="23">
        <f>89147.6*1.15</f>
        <v>102519.74</v>
      </c>
      <c r="G50" s="216"/>
      <c r="H50" s="26"/>
      <c r="I50" s="136"/>
      <c r="J50" s="149"/>
      <c r="K50" s="139"/>
      <c r="L50" s="143"/>
      <c r="M50" s="143"/>
      <c r="N50" s="45"/>
      <c r="O50" s="45"/>
      <c r="P50" s="45"/>
    </row>
    <row r="51" spans="1:16" s="2" customFormat="1" ht="13.5" thickBot="1">
      <c r="A51" s="37" t="s">
        <v>191</v>
      </c>
      <c r="B51" s="10" t="s">
        <v>192</v>
      </c>
      <c r="C51" s="10"/>
      <c r="D51" s="44" t="s">
        <v>193</v>
      </c>
      <c r="E51" s="34"/>
      <c r="F51" s="35"/>
      <c r="G51" s="36">
        <f>36811*1.15</f>
        <v>42332.649999999994</v>
      </c>
      <c r="H51" s="25"/>
      <c r="I51" s="149"/>
      <c r="J51" s="137"/>
      <c r="K51" s="143"/>
      <c r="L51" s="144"/>
      <c r="M51" s="143"/>
    </row>
    <row r="52" spans="1:16" s="53" customFormat="1" ht="37.5" customHeight="1" thickBot="1">
      <c r="A52" s="6">
        <v>4</v>
      </c>
      <c r="B52" s="75" t="s">
        <v>10</v>
      </c>
      <c r="C52" s="75" t="s">
        <v>35</v>
      </c>
      <c r="D52" s="195" t="s">
        <v>101</v>
      </c>
      <c r="E52" s="196"/>
      <c r="F52" s="196"/>
      <c r="G52" s="64"/>
      <c r="H52" s="68"/>
      <c r="I52" s="147"/>
      <c r="J52" s="147"/>
      <c r="K52" s="7"/>
      <c r="L52" s="7"/>
      <c r="M52" s="140"/>
    </row>
    <row r="53" spans="1:16" s="53" customFormat="1">
      <c r="A53" s="111" t="s">
        <v>175</v>
      </c>
      <c r="B53" s="201" t="s">
        <v>6</v>
      </c>
      <c r="C53" s="112" t="s">
        <v>31</v>
      </c>
      <c r="D53" s="113" t="s">
        <v>4</v>
      </c>
      <c r="E53" s="114">
        <v>443.09</v>
      </c>
      <c r="F53" s="186">
        <f>1550815*1.15</f>
        <v>1783437.2499999998</v>
      </c>
      <c r="G53" s="187">
        <f>50616.57*1.15</f>
        <v>58209.055499999995</v>
      </c>
      <c r="H53" s="80"/>
      <c r="I53" s="136"/>
      <c r="J53" s="137"/>
      <c r="K53" s="139"/>
      <c r="L53" s="144"/>
      <c r="M53" s="7"/>
    </row>
    <row r="54" spans="1:16" s="53" customFormat="1" ht="26.25" customHeight="1" thickBot="1">
      <c r="A54" s="69" t="s">
        <v>176</v>
      </c>
      <c r="B54" s="202"/>
      <c r="C54" s="151" t="s">
        <v>194</v>
      </c>
      <c r="D54" s="98" t="s">
        <v>177</v>
      </c>
      <c r="E54" s="101" t="s">
        <v>75</v>
      </c>
      <c r="F54" s="188">
        <f>59496.01*1.15</f>
        <v>68420.411500000002</v>
      </c>
      <c r="G54" s="177"/>
      <c r="H54" s="84"/>
      <c r="I54" s="136"/>
      <c r="J54" s="147"/>
      <c r="K54" s="139"/>
      <c r="L54" s="7"/>
      <c r="M54" s="7"/>
      <c r="N54" s="136"/>
    </row>
    <row r="55" spans="1:16" s="53" customFormat="1" ht="13.5" thickBot="1">
      <c r="A55" s="6">
        <v>6</v>
      </c>
      <c r="B55" s="99" t="s">
        <v>11</v>
      </c>
      <c r="C55" s="65" t="s">
        <v>36</v>
      </c>
      <c r="D55" s="66" t="s">
        <v>4</v>
      </c>
      <c r="E55" s="67">
        <v>929.51</v>
      </c>
      <c r="F55" s="167">
        <f>3253285*1.15</f>
        <v>3741277.7499999995</v>
      </c>
      <c r="G55" s="64">
        <f>42234.26*1.15</f>
        <v>48569.398999999998</v>
      </c>
      <c r="H55" s="68"/>
      <c r="I55" s="136"/>
      <c r="J55" s="137"/>
      <c r="K55" s="139"/>
      <c r="L55" s="144"/>
      <c r="M55" s="7"/>
    </row>
    <row r="56" spans="1:16" s="53" customFormat="1" ht="13.5" thickBot="1">
      <c r="A56" s="6">
        <v>7</v>
      </c>
      <c r="B56" s="65" t="s">
        <v>12</v>
      </c>
      <c r="C56" s="65" t="s">
        <v>37</v>
      </c>
      <c r="D56" s="66" t="s">
        <v>4</v>
      </c>
      <c r="E56" s="67">
        <v>892.77</v>
      </c>
      <c r="F56" s="167">
        <f>3124695*1.15</f>
        <v>3593399.2499999995</v>
      </c>
      <c r="G56" s="64">
        <f>48014.32*1.15</f>
        <v>55216.467999999993</v>
      </c>
      <c r="H56" s="68"/>
      <c r="I56" s="136"/>
      <c r="J56" s="137"/>
      <c r="K56" s="139"/>
      <c r="L56" s="144"/>
      <c r="M56" s="7"/>
    </row>
    <row r="57" spans="1:16" s="53" customFormat="1" ht="13.5" thickBot="1">
      <c r="A57" s="6">
        <v>8</v>
      </c>
      <c r="B57" s="65" t="s">
        <v>13</v>
      </c>
      <c r="C57" s="65" t="s">
        <v>38</v>
      </c>
      <c r="D57" s="66" t="s">
        <v>4</v>
      </c>
      <c r="E57" s="67">
        <v>929.57</v>
      </c>
      <c r="F57" s="167">
        <f>3253495*1.15+4100000</f>
        <v>7841519.25</v>
      </c>
      <c r="G57" s="64">
        <f>18387.05*1.15</f>
        <v>21145.107499999998</v>
      </c>
      <c r="H57" s="68"/>
      <c r="I57" s="136"/>
      <c r="J57" s="137"/>
      <c r="K57" s="139"/>
      <c r="L57" s="144"/>
      <c r="M57" s="7"/>
    </row>
    <row r="58" spans="1:16" s="53" customFormat="1" ht="25.5">
      <c r="A58" s="46">
        <v>9</v>
      </c>
      <c r="B58" s="91" t="s">
        <v>14</v>
      </c>
      <c r="C58" s="91" t="s">
        <v>39</v>
      </c>
      <c r="D58" s="92" t="s">
        <v>109</v>
      </c>
      <c r="E58" s="93" t="s">
        <v>75</v>
      </c>
      <c r="F58" s="168" t="s">
        <v>75</v>
      </c>
      <c r="G58" s="169"/>
      <c r="H58" s="94"/>
      <c r="I58" s="147"/>
      <c r="J58" s="147"/>
      <c r="K58" s="7"/>
      <c r="L58" s="7"/>
      <c r="M58" s="7"/>
    </row>
    <row r="59" spans="1:16" s="53" customFormat="1" ht="25.5">
      <c r="A59" s="85" t="s">
        <v>107</v>
      </c>
      <c r="B59" s="86"/>
      <c r="C59" s="86"/>
      <c r="D59" s="100" t="s">
        <v>110</v>
      </c>
      <c r="E59" s="88">
        <v>1053</v>
      </c>
      <c r="F59" s="172">
        <f>3685500*1.15</f>
        <v>4238325</v>
      </c>
      <c r="G59" s="217">
        <f>32326.85*1.15</f>
        <v>37175.877499999995</v>
      </c>
      <c r="H59" s="89"/>
      <c r="I59" s="136"/>
      <c r="J59" s="137"/>
      <c r="K59" s="139"/>
      <c r="L59" s="144"/>
      <c r="M59" s="7"/>
      <c r="N59" s="136"/>
    </row>
    <row r="60" spans="1:16" s="53" customFormat="1" ht="26.25" thickBot="1">
      <c r="A60" s="95" t="s">
        <v>108</v>
      </c>
      <c r="B60" s="96"/>
      <c r="C60" s="96"/>
      <c r="D60" s="98" t="s">
        <v>111</v>
      </c>
      <c r="E60" s="101">
        <v>592.42999999999995</v>
      </c>
      <c r="F60" s="173">
        <f>2073505*1.15</f>
        <v>2384530.75</v>
      </c>
      <c r="G60" s="218"/>
      <c r="H60" s="84"/>
      <c r="I60" s="136"/>
      <c r="J60" s="147"/>
      <c r="K60" s="139"/>
      <c r="L60" s="7"/>
      <c r="M60" s="7"/>
    </row>
    <row r="61" spans="1:16" s="53" customFormat="1" ht="13.5" thickBot="1">
      <c r="A61" s="6">
        <v>10</v>
      </c>
      <c r="B61" s="65" t="s">
        <v>15</v>
      </c>
      <c r="C61" s="65" t="s">
        <v>16</v>
      </c>
      <c r="D61" s="66" t="s">
        <v>4</v>
      </c>
      <c r="E61" s="67">
        <v>176</v>
      </c>
      <c r="F61" s="167">
        <f>616000*1.15</f>
        <v>708400</v>
      </c>
      <c r="G61" s="64">
        <f>29741.85*1.15</f>
        <v>34203.127499999995</v>
      </c>
      <c r="H61" s="102" t="s">
        <v>184</v>
      </c>
      <c r="I61" s="136"/>
      <c r="J61" s="137"/>
      <c r="K61" s="139"/>
      <c r="L61" s="144"/>
      <c r="M61" s="7"/>
    </row>
    <row r="62" spans="1:16" s="53" customFormat="1" ht="25.5">
      <c r="A62" s="46">
        <v>11</v>
      </c>
      <c r="B62" s="91" t="s">
        <v>17</v>
      </c>
      <c r="C62" s="91" t="s">
        <v>18</v>
      </c>
      <c r="D62" s="92" t="s">
        <v>116</v>
      </c>
      <c r="E62" s="93" t="s">
        <v>75</v>
      </c>
      <c r="F62" s="168" t="s">
        <v>75</v>
      </c>
      <c r="G62" s="169"/>
      <c r="H62" s="94"/>
      <c r="I62" s="147"/>
      <c r="J62" s="147"/>
      <c r="K62" s="7"/>
      <c r="L62" s="7"/>
      <c r="M62" s="7"/>
    </row>
    <row r="63" spans="1:16" s="53" customFormat="1" ht="25.5">
      <c r="A63" s="85" t="s">
        <v>112</v>
      </c>
      <c r="B63" s="86"/>
      <c r="C63" s="86"/>
      <c r="D63" s="100" t="s">
        <v>115</v>
      </c>
      <c r="E63" s="88">
        <v>755.89</v>
      </c>
      <c r="F63" s="170">
        <f>2678489.77*1.15</f>
        <v>3080263.2355</v>
      </c>
      <c r="G63" s="219">
        <f>366946.37*1.15</f>
        <v>421988.32549999998</v>
      </c>
      <c r="H63" s="89"/>
      <c r="I63" s="136"/>
      <c r="J63" s="137"/>
      <c r="K63" s="139"/>
      <c r="L63" s="144"/>
      <c r="M63" s="7"/>
      <c r="N63" s="137"/>
    </row>
    <row r="64" spans="1:16" s="53" customFormat="1" ht="26.25" thickBot="1">
      <c r="A64" s="95" t="s">
        <v>113</v>
      </c>
      <c r="B64" s="96"/>
      <c r="C64" s="96"/>
      <c r="D64" s="103" t="s">
        <v>114</v>
      </c>
      <c r="E64" s="101">
        <v>136</v>
      </c>
      <c r="F64" s="174">
        <f>497195.87*1.15</f>
        <v>571775.25049999997</v>
      </c>
      <c r="G64" s="220"/>
      <c r="H64" s="84"/>
      <c r="I64" s="136"/>
      <c r="J64" s="147"/>
      <c r="K64" s="139"/>
      <c r="L64" s="7"/>
      <c r="M64" s="7"/>
    </row>
    <row r="65" spans="1:14" s="53" customFormat="1" ht="25.5">
      <c r="A65" s="46">
        <v>12</v>
      </c>
      <c r="B65" s="91" t="s">
        <v>19</v>
      </c>
      <c r="C65" s="91" t="s">
        <v>20</v>
      </c>
      <c r="D65" s="92" t="s">
        <v>117</v>
      </c>
      <c r="E65" s="93" t="s">
        <v>75</v>
      </c>
      <c r="F65" s="168" t="s">
        <v>75</v>
      </c>
      <c r="G65" s="169"/>
      <c r="H65" s="94"/>
      <c r="I65" s="147"/>
      <c r="J65" s="147"/>
      <c r="K65" s="7"/>
      <c r="L65" s="7"/>
      <c r="M65" s="7"/>
    </row>
    <row r="66" spans="1:14" s="53" customFormat="1" ht="25.5">
      <c r="A66" s="85" t="s">
        <v>118</v>
      </c>
      <c r="B66" s="86"/>
      <c r="C66" s="86"/>
      <c r="D66" s="100" t="s">
        <v>121</v>
      </c>
      <c r="E66" s="88">
        <v>232</v>
      </c>
      <c r="F66" s="172">
        <f>3929654.03*1.15</f>
        <v>4519102.1344999997</v>
      </c>
      <c r="G66" s="175">
        <f>198574.28*1.15</f>
        <v>228360.42199999999</v>
      </c>
      <c r="H66" s="89"/>
      <c r="I66" s="136"/>
      <c r="J66" s="137"/>
      <c r="K66" s="139"/>
      <c r="L66" s="144"/>
      <c r="M66" s="7"/>
      <c r="N66" s="136"/>
    </row>
    <row r="67" spans="1:14" s="53" customFormat="1" ht="25.5" customHeight="1" thickBot="1">
      <c r="A67" s="95" t="s">
        <v>119</v>
      </c>
      <c r="B67" s="96"/>
      <c r="C67" s="96"/>
      <c r="D67" s="98" t="s">
        <v>174</v>
      </c>
      <c r="E67" s="104" t="s">
        <v>120</v>
      </c>
      <c r="F67" s="176"/>
      <c r="G67" s="177"/>
      <c r="H67" s="84"/>
      <c r="I67" s="147"/>
      <c r="J67" s="147"/>
      <c r="K67" s="7"/>
      <c r="L67" s="7"/>
      <c r="M67" s="7"/>
    </row>
    <row r="68" spans="1:14" s="53" customFormat="1" ht="25.5">
      <c r="A68" s="46">
        <v>13</v>
      </c>
      <c r="B68" s="91" t="s">
        <v>139</v>
      </c>
      <c r="C68" s="91" t="s">
        <v>21</v>
      </c>
      <c r="D68" s="92" t="s">
        <v>129</v>
      </c>
      <c r="E68" s="93" t="s">
        <v>75</v>
      </c>
      <c r="F68" s="168" t="s">
        <v>75</v>
      </c>
      <c r="G68" s="169"/>
      <c r="H68" s="94"/>
      <c r="I68" s="147"/>
      <c r="J68" s="147"/>
      <c r="K68" s="7"/>
      <c r="L68" s="7"/>
      <c r="M68" s="7"/>
    </row>
    <row r="69" spans="1:14" s="53" customFormat="1" ht="25.5">
      <c r="A69" s="85" t="s">
        <v>127</v>
      </c>
      <c r="B69" s="86" t="s">
        <v>140</v>
      </c>
      <c r="C69" s="87"/>
      <c r="D69" s="87" t="s">
        <v>21</v>
      </c>
      <c r="E69" s="88">
        <v>633.6</v>
      </c>
      <c r="F69" s="172">
        <f>2217600*1.15</f>
        <v>2550240</v>
      </c>
      <c r="G69" s="175">
        <f>148794.11*1.15</f>
        <v>171113.22649999996</v>
      </c>
      <c r="H69" s="89"/>
      <c r="I69" s="136"/>
      <c r="J69" s="137"/>
      <c r="K69" s="139"/>
      <c r="L69" s="144"/>
      <c r="M69" s="7"/>
    </row>
    <row r="70" spans="1:14" s="53" customFormat="1" ht="26.25" thickBot="1">
      <c r="A70" s="95" t="s">
        <v>128</v>
      </c>
      <c r="B70" s="96" t="s">
        <v>22</v>
      </c>
      <c r="C70" s="115"/>
      <c r="D70" s="115" t="s">
        <v>23</v>
      </c>
      <c r="E70" s="101">
        <v>361</v>
      </c>
      <c r="F70" s="173">
        <f>1263500*1.15</f>
        <v>1453025</v>
      </c>
      <c r="G70" s="177">
        <f>13553.55*1.15</f>
        <v>15586.582499999999</v>
      </c>
      <c r="H70" s="84"/>
      <c r="I70" s="136"/>
      <c r="J70" s="137"/>
      <c r="K70" s="139"/>
      <c r="L70" s="144"/>
      <c r="M70" s="7"/>
      <c r="N70" s="136"/>
    </row>
    <row r="71" spans="1:14" s="53" customFormat="1" ht="13.5" thickBot="1">
      <c r="A71" s="6">
        <v>14</v>
      </c>
      <c r="B71" s="65" t="s">
        <v>141</v>
      </c>
      <c r="C71" s="65" t="s">
        <v>40</v>
      </c>
      <c r="D71" s="66" t="s">
        <v>4</v>
      </c>
      <c r="E71" s="67">
        <v>9718</v>
      </c>
      <c r="F71" s="178">
        <f>34013000*1.15</f>
        <v>39114950</v>
      </c>
      <c r="G71" s="64">
        <f>1465007.22*1.15</f>
        <v>1684758.3029999998</v>
      </c>
      <c r="H71" s="68"/>
      <c r="I71" s="136"/>
      <c r="J71" s="137"/>
      <c r="K71" s="139"/>
      <c r="L71" s="144"/>
      <c r="M71" s="7"/>
    </row>
    <row r="72" spans="1:14" s="53" customFormat="1">
      <c r="A72" s="46">
        <v>15</v>
      </c>
      <c r="B72" s="91" t="s">
        <v>142</v>
      </c>
      <c r="C72" s="91" t="s">
        <v>41</v>
      </c>
      <c r="D72" s="92" t="s">
        <v>131</v>
      </c>
      <c r="E72" s="93" t="s">
        <v>75</v>
      </c>
      <c r="F72" s="168" t="s">
        <v>75</v>
      </c>
      <c r="G72" s="169"/>
      <c r="H72" s="94"/>
      <c r="I72" s="147"/>
      <c r="J72" s="147"/>
      <c r="K72" s="7"/>
      <c r="L72" s="7"/>
      <c r="M72" s="7"/>
    </row>
    <row r="73" spans="1:14" s="53" customFormat="1" ht="13.5" thickBot="1">
      <c r="A73" s="85" t="s">
        <v>130</v>
      </c>
      <c r="B73" s="86"/>
      <c r="C73" s="86"/>
      <c r="D73" s="86" t="s">
        <v>41</v>
      </c>
      <c r="E73" s="88">
        <v>2624.55</v>
      </c>
      <c r="F73" s="170">
        <f>9185925*1.15</f>
        <v>10563813.75</v>
      </c>
      <c r="G73" s="171">
        <f>(107996.22+662744.06)*1.15</f>
        <v>886351.32199999993</v>
      </c>
      <c r="H73" s="89"/>
      <c r="I73" s="136"/>
      <c r="J73" s="137"/>
      <c r="K73" s="139"/>
      <c r="L73" s="144"/>
      <c r="M73" s="7"/>
      <c r="N73" s="137"/>
    </row>
    <row r="74" spans="1:14" s="53" customFormat="1" ht="13.5" thickBot="1">
      <c r="A74" s="6">
        <v>16</v>
      </c>
      <c r="B74" s="65" t="s">
        <v>143</v>
      </c>
      <c r="C74" s="65" t="s">
        <v>24</v>
      </c>
      <c r="D74" s="66" t="s">
        <v>4</v>
      </c>
      <c r="E74" s="67">
        <v>1442.6</v>
      </c>
      <c r="F74" s="178">
        <f>5049100*1.15</f>
        <v>5806465</v>
      </c>
      <c r="G74" s="185">
        <f>190474.22*1.15</f>
        <v>219045.35299999997</v>
      </c>
      <c r="H74" s="68"/>
      <c r="I74" s="136"/>
      <c r="J74" s="137"/>
      <c r="K74" s="139"/>
      <c r="L74" s="144"/>
      <c r="M74" s="7"/>
    </row>
    <row r="75" spans="1:14" s="53" customFormat="1" ht="25.5">
      <c r="A75" s="90">
        <v>17</v>
      </c>
      <c r="B75" s="91" t="s">
        <v>133</v>
      </c>
      <c r="C75" s="91" t="s">
        <v>27</v>
      </c>
      <c r="D75" s="92" t="s">
        <v>126</v>
      </c>
      <c r="E75" s="93" t="s">
        <v>75</v>
      </c>
      <c r="F75" s="168" t="s">
        <v>75</v>
      </c>
      <c r="G75" s="159"/>
      <c r="H75" s="94"/>
      <c r="I75" s="147"/>
      <c r="J75" s="147"/>
      <c r="K75" s="7"/>
      <c r="L75" s="7"/>
      <c r="M75" s="7"/>
    </row>
    <row r="76" spans="1:14" s="53" customFormat="1" ht="46.5" customHeight="1">
      <c r="A76" s="46" t="s">
        <v>122</v>
      </c>
      <c r="B76" s="91" t="s">
        <v>25</v>
      </c>
      <c r="C76" s="91" t="s">
        <v>26</v>
      </c>
      <c r="D76" s="92" t="s">
        <v>4</v>
      </c>
      <c r="E76" s="221" t="s">
        <v>124</v>
      </c>
      <c r="F76" s="222"/>
      <c r="G76" s="158"/>
      <c r="H76" s="94"/>
      <c r="I76" s="147"/>
      <c r="J76" s="147"/>
      <c r="K76" s="7"/>
      <c r="L76" s="7"/>
      <c r="M76" s="7"/>
    </row>
    <row r="77" spans="1:14" s="53" customFormat="1" ht="39" thickBot="1">
      <c r="A77" s="95" t="s">
        <v>123</v>
      </c>
      <c r="B77" s="96" t="s">
        <v>144</v>
      </c>
      <c r="C77" s="97" t="s">
        <v>27</v>
      </c>
      <c r="D77" s="98" t="s">
        <v>4</v>
      </c>
      <c r="E77" s="98" t="s">
        <v>125</v>
      </c>
      <c r="F77" s="183">
        <f>6098015*1.15</f>
        <v>7012717.2499999991</v>
      </c>
      <c r="G77" s="184">
        <f>91214.94*1.15</f>
        <v>104897.181</v>
      </c>
      <c r="H77" s="84"/>
      <c r="I77" s="136"/>
      <c r="J77" s="137"/>
      <c r="K77" s="139"/>
      <c r="L77" s="144"/>
      <c r="M77" s="7"/>
      <c r="N77" s="137"/>
    </row>
    <row r="78" spans="1:14" s="53" customFormat="1" ht="13.5" thickBot="1">
      <c r="A78" s="6">
        <v>18</v>
      </c>
      <c r="B78" s="75" t="s">
        <v>145</v>
      </c>
      <c r="C78" s="75" t="s">
        <v>28</v>
      </c>
      <c r="D78" s="66" t="s">
        <v>4</v>
      </c>
      <c r="E78" s="76">
        <v>2766.09</v>
      </c>
      <c r="F78" s="178">
        <f>9681315*1.15</f>
        <v>11133512.25</v>
      </c>
      <c r="G78" s="179">
        <f>696763.34*1.15</f>
        <v>801277.8409999999</v>
      </c>
      <c r="H78" s="68"/>
      <c r="I78" s="136"/>
      <c r="J78" s="137"/>
      <c r="K78" s="139"/>
      <c r="L78" s="144"/>
      <c r="M78" s="7"/>
    </row>
    <row r="79" spans="1:14" s="53" customFormat="1" ht="13.5" thickBot="1">
      <c r="A79" s="77" t="s">
        <v>146</v>
      </c>
      <c r="B79" s="201" t="s">
        <v>29</v>
      </c>
      <c r="C79" s="203" t="s">
        <v>42</v>
      </c>
      <c r="D79" s="78" t="s">
        <v>42</v>
      </c>
      <c r="E79" s="79">
        <v>2804</v>
      </c>
      <c r="F79" s="180">
        <f>9814000*1.15</f>
        <v>11286100</v>
      </c>
      <c r="G79" s="181">
        <f>420037.96*1.15</f>
        <v>483043.65399999998</v>
      </c>
      <c r="H79" s="80"/>
      <c r="I79" s="136"/>
      <c r="J79" s="137"/>
      <c r="K79" s="139"/>
      <c r="L79" s="144"/>
      <c r="M79" s="7"/>
    </row>
    <row r="80" spans="1:14" s="53" customFormat="1" ht="15" customHeight="1" thickBot="1">
      <c r="A80" s="81" t="s">
        <v>147</v>
      </c>
      <c r="B80" s="202"/>
      <c r="C80" s="204"/>
      <c r="D80" s="82" t="s">
        <v>148</v>
      </c>
      <c r="E80" s="83">
        <v>1808</v>
      </c>
      <c r="F80" s="182">
        <f>6328000*1.15+3314341.77</f>
        <v>10591541.77</v>
      </c>
      <c r="G80" s="177"/>
      <c r="H80" s="84"/>
      <c r="I80" s="136"/>
      <c r="J80" s="147"/>
      <c r="K80" s="139"/>
      <c r="L80" s="7"/>
      <c r="M80" s="7"/>
    </row>
    <row r="81" spans="1:13" ht="30" customHeight="1" thickBot="1">
      <c r="A81" s="5">
        <v>20</v>
      </c>
      <c r="B81" s="17" t="s">
        <v>30</v>
      </c>
      <c r="C81" s="17" t="s">
        <v>44</v>
      </c>
      <c r="D81" s="205" t="s">
        <v>100</v>
      </c>
      <c r="E81" s="206"/>
      <c r="F81" s="206"/>
      <c r="G81" s="28"/>
      <c r="H81" s="29"/>
      <c r="I81" s="147"/>
      <c r="J81" s="147"/>
      <c r="K81" s="7"/>
      <c r="L81" s="7"/>
      <c r="M81" s="7"/>
    </row>
    <row r="82" spans="1:13" s="50" customFormat="1" ht="32.25" customHeight="1">
      <c r="A82" s="46">
        <v>21</v>
      </c>
      <c r="B82" s="47" t="s">
        <v>5</v>
      </c>
      <c r="C82" s="47" t="s">
        <v>45</v>
      </c>
      <c r="D82" s="207" t="s">
        <v>102</v>
      </c>
      <c r="E82" s="208"/>
      <c r="F82" s="208"/>
      <c r="G82" s="48"/>
      <c r="H82" s="49"/>
      <c r="I82" s="150"/>
      <c r="J82" s="150"/>
      <c r="K82" s="141"/>
      <c r="L82" s="141"/>
      <c r="M82" s="141"/>
    </row>
    <row r="83" spans="1:13" s="50" customFormat="1">
      <c r="A83" s="54" t="s">
        <v>137</v>
      </c>
      <c r="B83" s="105" t="s">
        <v>103</v>
      </c>
      <c r="C83" s="105" t="s">
        <v>132</v>
      </c>
      <c r="D83" s="199" t="s">
        <v>134</v>
      </c>
      <c r="E83" s="200"/>
      <c r="F83" s="200"/>
      <c r="G83" s="106"/>
      <c r="H83" s="107"/>
      <c r="I83" s="150"/>
      <c r="J83" s="150"/>
      <c r="K83" s="141"/>
      <c r="L83" s="141"/>
      <c r="M83" s="141"/>
    </row>
    <row r="84" spans="1:13" s="50" customFormat="1" ht="28.5" customHeight="1" thickBot="1">
      <c r="A84" s="69" t="s">
        <v>138</v>
      </c>
      <c r="B84" s="108" t="s">
        <v>104</v>
      </c>
      <c r="C84" s="108" t="s">
        <v>105</v>
      </c>
      <c r="D84" s="193" t="s">
        <v>106</v>
      </c>
      <c r="E84" s="194"/>
      <c r="F84" s="194"/>
      <c r="G84" s="109"/>
      <c r="H84" s="110"/>
      <c r="I84" s="150"/>
      <c r="J84" s="150"/>
      <c r="K84" s="141"/>
      <c r="L84" s="141"/>
      <c r="M84" s="141"/>
    </row>
    <row r="85" spans="1:13">
      <c r="F85" s="4">
        <f>SUM(F8:F84)</f>
        <v>214224786.23499998</v>
      </c>
      <c r="G85" s="4">
        <f>SUM(G8:G84)</f>
        <v>113234047.35000001</v>
      </c>
      <c r="H85" s="150"/>
      <c r="I85" s="150"/>
      <c r="J85" s="150"/>
      <c r="K85" s="140"/>
      <c r="L85" s="140"/>
      <c r="M85" s="145"/>
    </row>
    <row r="86" spans="1:13">
      <c r="C86" s="7"/>
      <c r="I86" s="150"/>
      <c r="J86" s="150"/>
    </row>
    <row r="87" spans="1:13">
      <c r="C87" s="8"/>
      <c r="I87" s="150"/>
      <c r="J87" s="150"/>
    </row>
    <row r="88" spans="1:13">
      <c r="F88" s="3"/>
    </row>
    <row r="89" spans="1:13">
      <c r="F89" s="18"/>
      <c r="G89" s="18"/>
    </row>
    <row r="90" spans="1:13">
      <c r="D90" s="18"/>
      <c r="E90" s="9"/>
      <c r="F90" s="3"/>
    </row>
    <row r="97" spans="5:6">
      <c r="E97" s="9"/>
    </row>
    <row r="101" spans="5:6">
      <c r="F101" s="18"/>
    </row>
    <row r="102" spans="5:6">
      <c r="E102" s="18"/>
    </row>
    <row r="104" spans="5:6">
      <c r="E104" s="18"/>
    </row>
    <row r="105" spans="5:6">
      <c r="E105" s="18"/>
    </row>
    <row r="106" spans="5:6">
      <c r="E106" s="18"/>
    </row>
    <row r="107" spans="5:6">
      <c r="E107" s="18"/>
    </row>
    <row r="108" spans="5:6">
      <c r="E108" s="18"/>
    </row>
    <row r="109" spans="5:6">
      <c r="E109" s="9"/>
    </row>
    <row r="110" spans="5:6">
      <c r="E110" s="9"/>
    </row>
    <row r="112" spans="5:6">
      <c r="E112" s="19"/>
    </row>
  </sheetData>
  <mergeCells count="19">
    <mergeCell ref="K6:M6"/>
    <mergeCell ref="G45:G50"/>
    <mergeCell ref="G59:G60"/>
    <mergeCell ref="G63:G64"/>
    <mergeCell ref="E76:F76"/>
    <mergeCell ref="A33:A36"/>
    <mergeCell ref="B33:B36"/>
    <mergeCell ref="C33:C36"/>
    <mergeCell ref="D84:F84"/>
    <mergeCell ref="D52:F52"/>
    <mergeCell ref="F33:F36"/>
    <mergeCell ref="D83:F83"/>
    <mergeCell ref="B79:B80"/>
    <mergeCell ref="C79:C80"/>
    <mergeCell ref="B53:B54"/>
    <mergeCell ref="D81:F81"/>
    <mergeCell ref="D82:F82"/>
    <mergeCell ref="D33:D36"/>
    <mergeCell ref="E33:E36"/>
  </mergeCells>
  <phoneticPr fontId="16" type="noConversion"/>
  <hyperlinks>
    <hyperlink ref="A5" r:id="rId1" display="mailto:um@um.skoczow.pl" xr:uid="{5C232FA7-F154-47BA-9D73-59B5F5B09C6F}"/>
  </hyperlinks>
  <pageMargins left="0.31496062992125984" right="0.31496062992125984" top="0" bottom="0" header="0.11811023622047245" footer="0.11811023622047245"/>
  <pageSetup paperSize="9" scale="57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Budynki_budowle </vt:lpstr>
      <vt:lpstr>'Budynki_budowle 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Doleszczak-Jakubiec</dc:creator>
  <cp:lastModifiedBy>Katarzyna Doleszczak-Jakubiec</cp:lastModifiedBy>
  <cp:lastPrinted>2023-01-11T14:11:02Z</cp:lastPrinted>
  <dcterms:created xsi:type="dcterms:W3CDTF">2011-04-04T06:43:47Z</dcterms:created>
  <dcterms:modified xsi:type="dcterms:W3CDTF">2023-08-30T09:35:06Z</dcterms:modified>
</cp:coreProperties>
</file>