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KI" sheetId="1" r:id="rId1"/>
  </sheets>
  <definedNames>
    <definedName name="_xlnm_Print_Area" localSheetId="0">#N/A</definedName>
    <definedName name="Excel_BuiltIn_Print_Area" localSheetId="0">#N/A</definedName>
    <definedName name="_xlnm.Print_Area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<sst xmlns="http://schemas.openxmlformats.org/spreadsheetml/2006/main" count="429" uniqueCount="261">
  <si>
    <t>Rozbudowa skrzyżowania dróg w ciągu ulic Zielonogórskiej, Chrobrego, Grobla, 
Okrężnej i Nowszej w Nowej Soli
BRANŻA DROGOWA</t>
  </si>
  <si>
    <t>niekwalifikowalne</t>
  </si>
  <si>
    <t>Lp</t>
  </si>
  <si>
    <t>Pozycja wg 
specyfikacji</t>
  </si>
  <si>
    <t>Symbol 
klasyfikacji
 KNNR</t>
  </si>
  <si>
    <t>Wyszczególnienie elementów
 rozliczeniowych</t>
  </si>
  <si>
    <t>Jednostka</t>
  </si>
  <si>
    <t>Ilość</t>
  </si>
  <si>
    <t>Cena jedn.</t>
  </si>
  <si>
    <t>Wartość</t>
  </si>
  <si>
    <t>x</t>
  </si>
  <si>
    <t>D.01.00.00</t>
  </si>
  <si>
    <t>ROBOTY PRZYGOTOWAWCZE CPV 45100000-8</t>
  </si>
  <si>
    <t>1.1</t>
  </si>
  <si>
    <t>D.01.01.01</t>
  </si>
  <si>
    <t>KNNR 1  0111-01</t>
  </si>
  <si>
    <t>Odtworzenie trasy i punktów wysokościowych w terenie płaskim</t>
  </si>
  <si>
    <t>km</t>
  </si>
  <si>
    <t>1.2</t>
  </si>
  <si>
    <t>D.01.02.01</t>
  </si>
  <si>
    <t>KNNR 1 0101-02</t>
  </si>
  <si>
    <t>Mechaniczne ścinanie drzew o średnicy do  15-75 cm z karczowaniem pni i odwiezieniem dłużyc, karpiny i gałęzi na składowisko Wykonawcy z utylizacją odpadu</t>
  </si>
  <si>
    <t>szt.</t>
  </si>
  <si>
    <t>1.3</t>
  </si>
  <si>
    <t>jw.</t>
  </si>
  <si>
    <t>KNNR 1 0102-01 + 0107-01 + 0107-05</t>
  </si>
  <si>
    <t>Wycinka krzewów z wywiezieniem gałęzi na składowisko Wykonawcy z utylizacją odpadu</t>
  </si>
  <si>
    <t>ha</t>
  </si>
  <si>
    <t>1.4</t>
  </si>
  <si>
    <t>D.01.02.04</t>
  </si>
  <si>
    <t>KNR 2-31 0802-07
+ 0802-08</t>
  </si>
  <si>
    <t>Rozebranie podbudowy z kruszywa łamanego gr. 15 cm</t>
  </si>
  <si>
    <t>1.5</t>
  </si>
  <si>
    <t>KNR 2-31 0803-03
+ 0803-04</t>
  </si>
  <si>
    <t xml:space="preserve">Rozebranie nawierzchni z betonu asfaltowego gr. 8 cm (średnio) </t>
  </si>
  <si>
    <t>1.6</t>
  </si>
  <si>
    <t>KNR 2-31 0806-02</t>
  </si>
  <si>
    <t>Rozebranie nawierzchni z kostki kamiennej gr. 10 cm z przekazaniem Zamawiającemu</t>
  </si>
  <si>
    <t>1.7</t>
  </si>
  <si>
    <t>KNR 2-31 0805-01
analogia</t>
  </si>
  <si>
    <t>Rozebranie nawierzchni z kostki betonowej gr. 8 cm</t>
  </si>
  <si>
    <t>1.8</t>
  </si>
  <si>
    <t>KNR 2-31 0805-01</t>
  </si>
  <si>
    <t>Rozebranie nawierzchni z płytki betonowej gr. 7 cm</t>
  </si>
  <si>
    <t>1.9</t>
  </si>
  <si>
    <t>Rozebranie nawierzchni z trylinki gr. 15 cm</t>
  </si>
  <si>
    <t>1.10</t>
  </si>
  <si>
    <t>KNR 2-31 0813-03 + 0813-03</t>
  </si>
  <si>
    <t>Rozebranie obrzeży betonowych 30x8 cm</t>
  </si>
  <si>
    <t>m</t>
  </si>
  <si>
    <t>1.11</t>
  </si>
  <si>
    <t xml:space="preserve">Rozebranie krawężników betonowych 15x30 cm wraz z rozbiórką ławy betonowej </t>
  </si>
  <si>
    <t>1.12</t>
  </si>
  <si>
    <t>kalk. ind.</t>
  </si>
  <si>
    <t xml:space="preserve">Rozebranie ścieku z elementów betonowych wraz z rozbiórką ławy betonowej </t>
  </si>
  <si>
    <t>1.13</t>
  </si>
  <si>
    <t>Rozebranie ogrodzenia - podmurówka betonowa, murowane z cegły wysokości 2,0m</t>
  </si>
  <si>
    <t>1.14</t>
  </si>
  <si>
    <t>Rozebranie ogrodzenia - podmurówka betonowa, murowane z cegły wysokości 0,8m</t>
  </si>
  <si>
    <t>1.15</t>
  </si>
  <si>
    <t>Rozebranie ogrodzenia - podmurówka betonowa, wypełnienie siatką w ramkach z kątowników</t>
  </si>
  <si>
    <t>1.16</t>
  </si>
  <si>
    <t>Rozebranie pozostałości fundamentu betonowego</t>
  </si>
  <si>
    <t>1.17</t>
  </si>
  <si>
    <t>Rozebranie ogrodzenia - słupki stalowe, przesła drewniane z jednoczesnym odtworzeniem w nowym miejscu</t>
  </si>
  <si>
    <t>1.18</t>
  </si>
  <si>
    <t>Demontaż krzyża na postumencie betonowym z jednoczesnym odtworzeniem w nowym miejscu</t>
  </si>
  <si>
    <t>kpl</t>
  </si>
  <si>
    <t>1.19</t>
  </si>
  <si>
    <t>KNR 4-04 1103-01
+ 1103-05</t>
  </si>
  <si>
    <t>Odwiezienie gruzu z rozbiórki na składowisko Wykonawcy z załadowaniem, wyładowaniem i utylizacją odpadów</t>
  </si>
  <si>
    <t>1.20</t>
  </si>
  <si>
    <t>KNNR6 0808-08</t>
  </si>
  <si>
    <t xml:space="preserve">Demontaż słupków znaków drogowych </t>
  </si>
  <si>
    <t>szt</t>
  </si>
  <si>
    <t>1.21</t>
  </si>
  <si>
    <t>KNNR6 0702-08</t>
  </si>
  <si>
    <t>Demontaż tarcz znaków drogowych</t>
  </si>
  <si>
    <t>1.22</t>
  </si>
  <si>
    <t>D.01.03.04</t>
  </si>
  <si>
    <t>KNR-W 2-19 
0218-01</t>
  </si>
  <si>
    <t xml:space="preserve">Wykonanie rur osłonowych dwudzielnych śr.160 mm na kablach  telekomunikacyjnych </t>
  </si>
  <si>
    <t>1.23</t>
  </si>
  <si>
    <t xml:space="preserve">Przedłużenie rur osłonowych 110 mm na kablach  telekomunikacyjnych </t>
  </si>
  <si>
    <t>1.24</t>
  </si>
  <si>
    <t>Wymiana ramy i pokrywy studni telekomunikacyjnej na zjazdach na typ ciężki (rama i pokrywa żeliwna)</t>
  </si>
  <si>
    <t>1.25</t>
  </si>
  <si>
    <t>Wymiana ramy i pokrywy studni telekomunikacyjnej w jezdni na typ ciężki D400 (rama i pokrywa żeliwna)</t>
  </si>
  <si>
    <t>Razem roboty przygtowawcze</t>
  </si>
  <si>
    <t>D.02.00.00</t>
  </si>
  <si>
    <t>ROBOTY ZIEMNE CPV 45100000-8</t>
  </si>
  <si>
    <t>Uwaga! 
Ze względu na specyfikę robót przyjęto, że roboty ziemne będą wykonane sposobem ręcznym i mechanicznym w proporcji 50/50%. Zdjęcie humusu ujęto jako wykop wykonany koparką</t>
  </si>
  <si>
    <t>2.1</t>
  </si>
  <si>
    <t>D.02.01.01</t>
  </si>
  <si>
    <t>KNR 2-01 0206-04 +
0208-02</t>
  </si>
  <si>
    <t>Wykop mechaniczny w gruncie kat. III z transportem na składowisko Wykonawcy (grunt z wykopu na odkład) wraz z utylizacją</t>
  </si>
  <si>
    <t>2.2</t>
  </si>
  <si>
    <t>KNR 2-01 0218-01</t>
  </si>
  <si>
    <t>Ręczne wykonanie wykopu w gruncie kat. III z załadunkiem urobku i transportem na odkład Wykonawcy (grunt z wykopu na odkład); wraz z utylizacją</t>
  </si>
  <si>
    <t>2.3</t>
  </si>
  <si>
    <t>Wykop mechaniczny w gruncie kat. III z transportem na składowisko Wykonawcy (grunt z wykopu na odkład) wraz z utylizacją - wymiana gruntu</t>
  </si>
  <si>
    <t>2.4</t>
  </si>
  <si>
    <t>D.02.03.01</t>
  </si>
  <si>
    <t>KNR 2-01 0320-05</t>
  </si>
  <si>
    <t>Ręczne zasypanie wykopu  z zagęszczeniem w gruncie kat. II wraz z pozyskaniem gruntu - wymiana gruntu</t>
  </si>
  <si>
    <t>2.5</t>
  </si>
  <si>
    <t>KNR 2-01 0314-05
+  KNR 0314-05</t>
  </si>
  <si>
    <t>Formowanie nasypu z zagęszczeniem w gruncie kat. II wraz z pozyskaniem gruntu</t>
  </si>
  <si>
    <t>2.6</t>
  </si>
  <si>
    <t>KNR 2-01 0505-01</t>
  </si>
  <si>
    <t>Ręcze plantowanie skarp i poboczy w gruncie kat. II</t>
  </si>
  <si>
    <t>Razem roboty ziemne:</t>
  </si>
  <si>
    <t>D.04.00.00</t>
  </si>
  <si>
    <t>PODBUDOWY CPV 45233000-9</t>
  </si>
  <si>
    <t>4.1</t>
  </si>
  <si>
    <t>D.04.01.01</t>
  </si>
  <si>
    <t>KNR 2-31 0103-04</t>
  </si>
  <si>
    <t xml:space="preserve">Mechaniczne profilowanie i zagęszczenie podłoża pod warstwy konstrukcyjne nawierzchni, grunt kat. II </t>
  </si>
  <si>
    <t>4.2</t>
  </si>
  <si>
    <t>D.04.02.02</t>
  </si>
  <si>
    <t>KNR 2-31 0106-03
+ 0106-04</t>
  </si>
  <si>
    <t>Wykonanie warstwy mrozoochronnej z mieszanki niezwiązanej o CBR&gt;20%, gr. 15cm</t>
  </si>
  <si>
    <t>4.3</t>
  </si>
  <si>
    <t>D.04.05.01</t>
  </si>
  <si>
    <t xml:space="preserve">KNR 2-31 0111-01
+ 0111-02 </t>
  </si>
  <si>
    <t xml:space="preserve">Wykonanie warstwy podbudowy pomocniczej z mieszanki związanej cementem C1,5/2,0≤4,0MPa  gr. 15cm </t>
  </si>
  <si>
    <t>4.4</t>
  </si>
  <si>
    <t>D.04.03.01</t>
  </si>
  <si>
    <t>KNNR 6 1005-04</t>
  </si>
  <si>
    <t>Oczyszczenie warstw niebitumicznych</t>
  </si>
  <si>
    <t>4.5</t>
  </si>
  <si>
    <t>KNNR 6 1005-06</t>
  </si>
  <si>
    <t>Oczyszczenie warstw bitumicznych</t>
  </si>
  <si>
    <t>4.6</t>
  </si>
  <si>
    <t>KNNR 6 1005-07</t>
  </si>
  <si>
    <t xml:space="preserve">Skropienie warstw niebitumicznych </t>
  </si>
  <si>
    <t>4.7</t>
  </si>
  <si>
    <t xml:space="preserve">Skropienie warstw bitumicznych </t>
  </si>
  <si>
    <t>4.8</t>
  </si>
  <si>
    <t>D.04.04.02</t>
  </si>
  <si>
    <t>KNR 2-31 0114-05</t>
  </si>
  <si>
    <t>Wykonanie podbudowy z mieszanki niezwiązanej z kruszywem C 90/3  gr. 10cm</t>
  </si>
  <si>
    <t>4.9</t>
  </si>
  <si>
    <t>KNNR 1 0507-01
+ 0507-02</t>
  </si>
  <si>
    <t>Wykonanie podbudowy z mieszanki niezwiązanej z kruszywem C 90/3  gr. 15cm</t>
  </si>
  <si>
    <t>4.10</t>
  </si>
  <si>
    <t>KNR 2-31 0114-05
+ 0114-06</t>
  </si>
  <si>
    <t>Wykonanie podbudowy z mieszanki niezwiązanej z kruszywem C 90/3  gr. 20cm</t>
  </si>
  <si>
    <t>4.11</t>
  </si>
  <si>
    <t>D.04.06.01b</t>
  </si>
  <si>
    <t>KNR 2-31 0109-01
+ 0109-02</t>
  </si>
  <si>
    <t>Wykonanie  podbudowy z betonu cementowego C16/20 gr. 26 cm (średnio)</t>
  </si>
  <si>
    <t>4.12</t>
  </si>
  <si>
    <t>D.04.07.01a</t>
  </si>
  <si>
    <t>KNR 2-31 0110-01
+ 0110-02</t>
  </si>
  <si>
    <t xml:space="preserve"> Wykonanie warstwy podbudowy grubości 7 cm z betonu asfaltowego o uziarnieniu 0/22 mm (AC 22P) </t>
  </si>
  <si>
    <t>4.13</t>
  </si>
  <si>
    <t xml:space="preserve"> Wykonanie warstwy podbudowy grubości 10 cm z betonu asfaltowego o uziarnieniu 0/22 mm (AC 22P) </t>
  </si>
  <si>
    <t>Razem podbudowy:</t>
  </si>
  <si>
    <t>05.00.00</t>
  </si>
  <si>
    <t>NAWIERZCHNIE CPV 45233000-9</t>
  </si>
  <si>
    <t>5.1</t>
  </si>
  <si>
    <t>D.05.03.01</t>
  </si>
  <si>
    <t>KNR 2-31 0302-01
analogia</t>
  </si>
  <si>
    <t>Wykonanie nawierzchni z kostki granitowej gr. 9/11 cm na podsypce cementowo – piaskowej 1:4 gr. 3 cm</t>
  </si>
  <si>
    <t>5.2</t>
  </si>
  <si>
    <t>D.05.03.05a</t>
  </si>
  <si>
    <t>KNR 2-31 0310-01
+ 0310-02</t>
  </si>
  <si>
    <t xml:space="preserve">Wykonanie warstwy wiążącej gr. 8 cm z betonu asfaltowego o uziarnieniu 0/16 mm (AC 16W) </t>
  </si>
  <si>
    <t>5.3</t>
  </si>
  <si>
    <t xml:space="preserve">Wykonanie warstwy wiążącej gr. 6 cm z betonu asfaltowego o uziarnieniu 0/16 mm (AC 16W) </t>
  </si>
  <si>
    <t>5.4</t>
  </si>
  <si>
    <t xml:space="preserve">Wykonanie warstwy wiążącej gr. 5 cm z betonu asfaltowego o uziarnieniu 0/16 mm (AC 16W) </t>
  </si>
  <si>
    <t>5.5</t>
  </si>
  <si>
    <t>KNNR6  0108-0201</t>
  </si>
  <si>
    <t>Wyrównanie istniejacej nawierzchni betonem asfaltowym 0/16 mm jak na w-wę wiążącą - grubość min. 4 cm</t>
  </si>
  <si>
    <t>t</t>
  </si>
  <si>
    <t>5.6</t>
  </si>
  <si>
    <t>D.05.03.05b</t>
  </si>
  <si>
    <t>KNR 2-31 0310-05
+ 0310-06</t>
  </si>
  <si>
    <t>Wykonanie warstwy ścieralnej gr. 4 cm z betonu asfaltowego o uziarnieniu 0/11 mm (AC 11S)</t>
  </si>
  <si>
    <t>5.7</t>
  </si>
  <si>
    <t>D.05.03.26a</t>
  </si>
  <si>
    <t>kalk. Ind</t>
  </si>
  <si>
    <t xml:space="preserve">Ułożenie siatki do zbrojenia nawierzchni asfaltowych o szerokości 1.00m, wytrzymałości min. 100 KN/m i wydłużeniu przy zerwaniu wzdłuż pasma max. 3%. </t>
  </si>
  <si>
    <t>5.8</t>
  </si>
  <si>
    <t>D.05.03.11</t>
  </si>
  <si>
    <t>KNR SEK 06-01     0103-06</t>
  </si>
  <si>
    <t xml:space="preserve">Frezowanie istniejącej nawierzchni gr. 4 cm (średnio) z odwiezieniem destruktu na hałdę na składowisko Wykonawcy </t>
  </si>
  <si>
    <t>5.9</t>
  </si>
  <si>
    <t xml:space="preserve">Frezowanie istniejącej nawierzchni gr. 15 cm (średnio) z odwiezieniem destruktu na hałdę na składowisko Wykonawcy </t>
  </si>
  <si>
    <t>5.10</t>
  </si>
  <si>
    <t>D.05.03.23</t>
  </si>
  <si>
    <t>KNNR6 0502-03
analogia</t>
  </si>
  <si>
    <t xml:space="preserve">Wykonanie nawierzchni z kostki brukowej betonowej szarej gr. 8cm na podsypce cementowo – piaskowej 1:4 gr. 3 cm </t>
  </si>
  <si>
    <t>5.11</t>
  </si>
  <si>
    <t>KNNR6 0502-03</t>
  </si>
  <si>
    <t xml:space="preserve">Wykonanie nawierzchni z kostki brukowej betonowej czerwonej gr. 8cm na podsypce cementowo – piaskowej 1:4 gr. 3 cm </t>
  </si>
  <si>
    <t>5.12</t>
  </si>
  <si>
    <t xml:space="preserve">Wykonanie nawierzchni z kostki brukowej betonowej grafitowej gr. 8cm na podsypce cementowo – piaskowej 1:4 gr. 3 cm </t>
  </si>
  <si>
    <t>Razem nawierzchnie:</t>
  </si>
  <si>
    <t>D.06.00.00</t>
  </si>
  <si>
    <t xml:space="preserve">ROBOTY WYKOŃCZENIOWE CPV 45233140-2 </t>
  </si>
  <si>
    <t>6.1</t>
  </si>
  <si>
    <t>D.06.01.01</t>
  </si>
  <si>
    <t>Humusowanie skarp i pobocza oraz całego pasa drogowego w-wą gr. 10 cm z obsianiem trawą (humus z dokopu Wykonawcy)</t>
  </si>
  <si>
    <t>Razem roboty wykończeniowe:</t>
  </si>
  <si>
    <t>07.00.00</t>
  </si>
  <si>
    <t xml:space="preserve">URZĄDZENIA BEZPIECZEŃSTWA RUCHU CPV 45233290-8 </t>
  </si>
  <si>
    <t>7.1</t>
  </si>
  <si>
    <t>D.07.01.01</t>
  </si>
  <si>
    <t>KNNR6 0705-05</t>
  </si>
  <si>
    <t>Wykonanie oznakowania poziomego grubowarstwowe</t>
  </si>
  <si>
    <t>7.2</t>
  </si>
  <si>
    <t>D.07.02.01</t>
  </si>
  <si>
    <t>KNNR6 0702-01</t>
  </si>
  <si>
    <t xml:space="preserve">Ustawienie słupków z rur stal. o średnicy 60 mm </t>
  </si>
  <si>
    <t>7.3</t>
  </si>
  <si>
    <t>KNNR 6 0702-06</t>
  </si>
  <si>
    <t>Montaż tarcz znaków drogowych (średnie)</t>
  </si>
  <si>
    <t>7.4</t>
  </si>
  <si>
    <t>Montaż słupków U-7</t>
  </si>
  <si>
    <t>Razem urządzenia bezpieczeństwa ruchu:</t>
  </si>
  <si>
    <t>08.00.00</t>
  </si>
  <si>
    <t xml:space="preserve">ELEMENTY ULIC CPV 45233140-2 </t>
  </si>
  <si>
    <t>8.1</t>
  </si>
  <si>
    <t>D.08.01.01</t>
  </si>
  <si>
    <t>KNR 2-31 0403-03
+0402-04</t>
  </si>
  <si>
    <t>Ułożenie krawężnika betonowego 15x30 cm na podsypce cementowo –piaskowej 1:4 i ławie z betonu C 12/15 z oporem</t>
  </si>
  <si>
    <t>8.2</t>
  </si>
  <si>
    <t>Ułożenie krawężnika betonowego najazdowego 15x22 cm na podsypce cementowo –piaskowej  1:4 i ławie z betonu C 12/15 z oporem</t>
  </si>
  <si>
    <t>8.3</t>
  </si>
  <si>
    <t>Ułożenie krawężnika betonowego przejściowego 15x22/30 cm na podsypce cementowo –piaskowej  1:4 i ławie z betonu C 12/15 z oporem</t>
  </si>
  <si>
    <t>8.4</t>
  </si>
  <si>
    <t>KNR 2-31 0403-03
+0402-04 analogia</t>
  </si>
  <si>
    <t>Ułożenie opornika betonowego 12x25 cm na podsypce cementowo –piaskowej 1:4 i ławie z betonu C 12/15 z oporem</t>
  </si>
  <si>
    <t>8.5</t>
  </si>
  <si>
    <t>D.08.03.01</t>
  </si>
  <si>
    <t>KNR 2-31 0407-05
+0402-04</t>
  </si>
  <si>
    <t>Ułożenie obrzeża betonowego 8x30 cm na podsypce cementowo –piaskowej 1:4 i ławie z betonu C 12/15 z oporem</t>
  </si>
  <si>
    <t>8.6</t>
  </si>
  <si>
    <t>D.08.05.01</t>
  </si>
  <si>
    <t>KNR 2-31 0606-03
+0402-04</t>
  </si>
  <si>
    <t xml:space="preserve">Ułożenie prefabrykowanych ścieków drogowych na podsyp i ławie z betonu C12/15 </t>
  </si>
  <si>
    <t>8.7</t>
  </si>
  <si>
    <t>D.08.05.06</t>
  </si>
  <si>
    <t>KNR 2-31 0608-08
+0402-04 analogia</t>
  </si>
  <si>
    <t xml:space="preserve">Ułożenie ścieków z jednego rzędu kostki betonowej 16x16x16 cm na podsypce cementowo - piaskowej 1:4 i ławie betonowej z betonu C12/15 wspólnej dla krawężnika </t>
  </si>
  <si>
    <t>Razem elementy ulic:</t>
  </si>
  <si>
    <t>Wyceny dokonano zgodnie z rozporządzeniem Ministra Infrastruktury z dnia 18 maja 2004 r. (Dziennik Ustaw nr 130, poz. 1389) w sprawie określenia metod i podstaw sporządzania kosztorysu inwestorskiego, obliczania planowanych kosztów prac projektowych oraz planowanych kosztów robót budowlanych określonych w programie funkcjonalno-użytkowym</t>
  </si>
  <si>
    <t>nie</t>
  </si>
  <si>
    <t>kwalif</t>
  </si>
  <si>
    <t>FORMULARZ KOSZTORYSU OFERTOWEGO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</si>
  <si>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</si>
  <si>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</si>
  <si>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razem wartość robót netto</t>
  </si>
  <si>
    <t xml:space="preserve"> wartość podatku VAT (23%)</t>
  </si>
  <si>
    <t>razem wartość robót brutto</t>
  </si>
  <si>
    <t>D.07.02.04</t>
  </si>
  <si>
    <t>zakup i montaż tablic informacyjnych  z logo Rządowego  Funduszu Rozwoju Dróg, wymiar 180x120,  (projekt tablicy do uzgodnienia z zamawiającym)</t>
  </si>
  <si>
    <t>7.5.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</si>
</sst>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  <numFmt numFmtId="165" formatCode="_-* #,##0.00&quot; zł&quot;_-;\-* #,##0.00&quot; zł&quot;_-;_-* \-??&quot; zł&quot;_-;_-@_-"/>
  </numFmts>
  <fonts count="59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center" vertical="center" wrapText="1"/>
      <protection/>
    </xf>
    <xf numFmtId="3" fontId="3" fillId="0" borderId="0" xfId="0" applyNumberFormat="1" applyFont="1" applyAlignment="1" applyProtection="1">
      <alignment vertical="center" wrapText="1"/>
      <protection/>
    </xf>
    <xf numFmtId="4" fontId="3" fillId="33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3" fontId="6" fillId="0" borderId="0" xfId="0" applyNumberFormat="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4" fontId="4" fillId="33" borderId="0" xfId="0" applyNumberFormat="1" applyFont="1" applyFill="1" applyAlignment="1" applyProtection="1">
      <alignment vertical="center" wrapText="1"/>
      <protection/>
    </xf>
    <xf numFmtId="3" fontId="1" fillId="0" borderId="0" xfId="0" applyNumberFormat="1" applyFont="1" applyAlignment="1" applyProtection="1">
      <alignment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165" fontId="8" fillId="0" borderId="13" xfId="0" applyNumberFormat="1" applyFont="1" applyBorder="1" applyAlignment="1" applyProtection="1">
      <alignment vertical="center" wrapText="1"/>
      <protection/>
    </xf>
    <xf numFmtId="165" fontId="6" fillId="0" borderId="13" xfId="0" applyNumberFormat="1" applyFont="1" applyBorder="1" applyAlignment="1" applyProtection="1">
      <alignment vertical="center" wrapText="1"/>
      <protection/>
    </xf>
    <xf numFmtId="165" fontId="6" fillId="0" borderId="0" xfId="0" applyNumberFormat="1" applyFont="1" applyAlignment="1" applyProtection="1">
      <alignment vertical="center" wrapText="1"/>
      <protection/>
    </xf>
    <xf numFmtId="165" fontId="7" fillId="0" borderId="13" xfId="0" applyNumberFormat="1" applyFont="1" applyBorder="1" applyAlignment="1" applyProtection="1">
      <alignment vertical="center" wrapText="1"/>
      <protection/>
    </xf>
    <xf numFmtId="165" fontId="7" fillId="0" borderId="0" xfId="0" applyNumberFormat="1" applyFont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4" fontId="9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164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4" fontId="9" fillId="0" borderId="14" xfId="0" applyNumberFormat="1" applyFont="1" applyBorder="1" applyAlignment="1" applyProtection="1">
      <alignment horizontal="center" vertical="center" wrapText="1"/>
      <protection/>
    </xf>
    <xf numFmtId="2" fontId="9" fillId="0" borderId="15" xfId="0" applyNumberFormat="1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3" fontId="10" fillId="0" borderId="11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3" fontId="10" fillId="0" borderId="14" xfId="0" applyNumberFormat="1" applyFont="1" applyBorder="1" applyAlignment="1" applyProtection="1">
      <alignment horizontal="center" vertical="center" wrapText="1"/>
      <protection/>
    </xf>
    <xf numFmtId="3" fontId="10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3" fontId="9" fillId="0" borderId="14" xfId="0" applyNumberFormat="1" applyFont="1" applyBorder="1" applyAlignment="1" applyProtection="1">
      <alignment horizontal="center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3" fontId="12" fillId="0" borderId="14" xfId="0" applyNumberFormat="1" applyFont="1" applyBorder="1" applyAlignment="1" applyProtection="1">
      <alignment horizontal="center" vertical="center" wrapText="1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3" fontId="55" fillId="0" borderId="11" xfId="0" applyNumberFormat="1" applyFont="1" applyBorder="1" applyAlignment="1" applyProtection="1">
      <alignment horizontal="center" vertical="center" wrapText="1"/>
      <protection/>
    </xf>
    <xf numFmtId="4" fontId="55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vertical="center" wrapText="1"/>
      <protection/>
    </xf>
    <xf numFmtId="0" fontId="57" fillId="0" borderId="0" xfId="0" applyFont="1" applyAlignment="1" applyProtection="1">
      <alignment vertical="center" wrapText="1"/>
      <protection/>
    </xf>
    <xf numFmtId="4" fontId="58" fillId="0" borderId="11" xfId="0" applyNumberFormat="1" applyFont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165" fontId="17" fillId="0" borderId="17" xfId="0" applyNumberFormat="1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left" vertical="center" wrapText="1"/>
      <protection/>
    </xf>
    <xf numFmtId="16" fontId="55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115" zoomScaleNormal="115" zoomScalePageLayoutView="0" workbookViewId="0" topLeftCell="A67">
      <selection activeCell="D75" sqref="D75"/>
    </sheetView>
  </sheetViews>
  <sheetFormatPr defaultColWidth="9.00390625" defaultRowHeight="12.75"/>
  <cols>
    <col min="1" max="1" width="7.125" style="1" customWidth="1"/>
    <col min="2" max="2" width="9.625" style="1" customWidth="1"/>
    <col min="3" max="3" width="15.625" style="2" customWidth="1"/>
    <col min="4" max="4" width="48.25390625" style="3" customWidth="1"/>
    <col min="5" max="5" width="6.875" style="3" customWidth="1"/>
    <col min="6" max="6" width="7.875" style="4" customWidth="1"/>
    <col min="7" max="7" width="8.25390625" style="5" customWidth="1"/>
    <col min="8" max="8" width="11.125" style="3" customWidth="1"/>
    <col min="9" max="9" width="10.375" style="3" customWidth="1"/>
    <col min="10" max="10" width="9.125" style="6" customWidth="1"/>
    <col min="11" max="11" width="9.125" style="3" customWidth="1"/>
    <col min="12" max="12" width="13.875" style="3" customWidth="1"/>
    <col min="13" max="13" width="13.375" style="3" customWidth="1"/>
    <col min="14" max="14" width="13.00390625" style="7" customWidth="1"/>
    <col min="15" max="15" width="11.875" style="3" customWidth="1"/>
    <col min="16" max="16384" width="9.125" style="3" customWidth="1"/>
  </cols>
  <sheetData>
    <row r="1" spans="1:8" ht="51" customHeight="1" thickBot="1">
      <c r="A1" s="76" t="s">
        <v>252</v>
      </c>
      <c r="B1" s="76"/>
      <c r="C1" s="76"/>
      <c r="D1" s="76"/>
      <c r="E1" s="76"/>
      <c r="F1" s="76"/>
      <c r="G1" s="76"/>
      <c r="H1" s="76"/>
    </row>
    <row r="2" spans="1:12" ht="75" customHeight="1" thickBot="1">
      <c r="A2" s="77" t="s">
        <v>0</v>
      </c>
      <c r="B2" s="77"/>
      <c r="C2" s="77"/>
      <c r="D2" s="77"/>
      <c r="E2" s="77"/>
      <c r="F2" s="77"/>
      <c r="G2" s="77"/>
      <c r="H2" s="77"/>
      <c r="J2" s="82" t="s">
        <v>1</v>
      </c>
      <c r="K2" s="82"/>
      <c r="L2" s="82"/>
    </row>
    <row r="3" spans="1:12" ht="38.25">
      <c r="A3" s="25" t="s">
        <v>2</v>
      </c>
      <c r="B3" s="26" t="s">
        <v>3</v>
      </c>
      <c r="C3" s="26" t="s">
        <v>4</v>
      </c>
      <c r="D3" s="25" t="s">
        <v>5</v>
      </c>
      <c r="E3" s="25" t="s">
        <v>6</v>
      </c>
      <c r="F3" s="27" t="s">
        <v>7</v>
      </c>
      <c r="G3" s="27" t="s">
        <v>8</v>
      </c>
      <c r="H3" s="27" t="s">
        <v>9</v>
      </c>
      <c r="J3" s="8" t="s">
        <v>7</v>
      </c>
      <c r="K3" s="8" t="s">
        <v>8</v>
      </c>
      <c r="L3" s="8" t="s">
        <v>9</v>
      </c>
    </row>
    <row r="4" spans="1:14" s="13" customFormat="1" ht="12.75">
      <c r="A4" s="56">
        <v>1</v>
      </c>
      <c r="B4" s="56">
        <v>2</v>
      </c>
      <c r="C4" s="56">
        <v>3</v>
      </c>
      <c r="D4" s="56">
        <v>3</v>
      </c>
      <c r="E4" s="56">
        <v>4</v>
      </c>
      <c r="F4" s="57">
        <v>5</v>
      </c>
      <c r="G4" s="56">
        <v>6</v>
      </c>
      <c r="H4" s="56">
        <v>7</v>
      </c>
      <c r="J4" s="16"/>
      <c r="N4" s="14"/>
    </row>
    <row r="5" spans="1:8" ht="12.75">
      <c r="A5" s="28" t="s">
        <v>10</v>
      </c>
      <c r="B5" s="28" t="s">
        <v>11</v>
      </c>
      <c r="C5" s="28" t="s">
        <v>10</v>
      </c>
      <c r="D5" s="30" t="s">
        <v>12</v>
      </c>
      <c r="E5" s="28" t="s">
        <v>10</v>
      </c>
      <c r="F5" s="31" t="s">
        <v>10</v>
      </c>
      <c r="G5" s="31" t="s">
        <v>10</v>
      </c>
      <c r="H5" s="31" t="s">
        <v>10</v>
      </c>
    </row>
    <row r="6" spans="1:12" ht="35.25" customHeight="1">
      <c r="A6" s="32" t="s">
        <v>13</v>
      </c>
      <c r="B6" s="32" t="s">
        <v>14</v>
      </c>
      <c r="C6" s="32" t="s">
        <v>15</v>
      </c>
      <c r="D6" s="33" t="s">
        <v>16</v>
      </c>
      <c r="E6" s="32" t="s">
        <v>17</v>
      </c>
      <c r="F6" s="34">
        <v>0.46</v>
      </c>
      <c r="G6" s="35"/>
      <c r="H6" s="35">
        <f aca="true" t="shared" si="0" ref="H6:H30">ROUND(F6*G6,2)</f>
        <v>0</v>
      </c>
      <c r="J6" s="6">
        <v>0.107</v>
      </c>
      <c r="K6" s="10">
        <f>G6</f>
        <v>0</v>
      </c>
      <c r="L6" s="10">
        <f>ROUND(J6*K6,2)</f>
        <v>0</v>
      </c>
    </row>
    <row r="7" spans="1:8" ht="50.25" customHeight="1">
      <c r="A7" s="32" t="s">
        <v>18</v>
      </c>
      <c r="B7" s="32" t="s">
        <v>19</v>
      </c>
      <c r="C7" s="32" t="s">
        <v>20</v>
      </c>
      <c r="D7" s="33" t="s">
        <v>21</v>
      </c>
      <c r="E7" s="32" t="s">
        <v>22</v>
      </c>
      <c r="F7" s="36">
        <v>8</v>
      </c>
      <c r="G7" s="37"/>
      <c r="H7" s="35">
        <f t="shared" si="0"/>
        <v>0</v>
      </c>
    </row>
    <row r="8" spans="1:8" ht="37.5" customHeight="1">
      <c r="A8" s="32" t="s">
        <v>23</v>
      </c>
      <c r="B8" s="32" t="s">
        <v>24</v>
      </c>
      <c r="C8" s="32" t="s">
        <v>25</v>
      </c>
      <c r="D8" s="33" t="s">
        <v>26</v>
      </c>
      <c r="E8" s="32" t="s">
        <v>27</v>
      </c>
      <c r="F8" s="34">
        <v>0.008</v>
      </c>
      <c r="G8" s="37"/>
      <c r="H8" s="35">
        <f t="shared" si="0"/>
        <v>0</v>
      </c>
    </row>
    <row r="9" spans="1:12" ht="24" customHeight="1">
      <c r="A9" s="32" t="s">
        <v>28</v>
      </c>
      <c r="B9" s="32" t="s">
        <v>29</v>
      </c>
      <c r="C9" s="32" t="s">
        <v>30</v>
      </c>
      <c r="D9" s="33" t="s">
        <v>31</v>
      </c>
      <c r="E9" s="32" t="s">
        <v>253</v>
      </c>
      <c r="F9" s="36">
        <f>2070-J9</f>
        <v>1568</v>
      </c>
      <c r="G9" s="35"/>
      <c r="H9" s="35">
        <f t="shared" si="0"/>
        <v>0</v>
      </c>
      <c r="I9" s="11"/>
      <c r="J9" s="6">
        <v>502</v>
      </c>
      <c r="K9" s="10">
        <f>G9</f>
        <v>0</v>
      </c>
      <c r="L9" s="10">
        <f>ROUND(J9*K9,2)</f>
        <v>0</v>
      </c>
    </row>
    <row r="10" spans="1:12" ht="24" customHeight="1">
      <c r="A10" s="32" t="s">
        <v>32</v>
      </c>
      <c r="B10" s="32" t="s">
        <v>24</v>
      </c>
      <c r="C10" s="32" t="s">
        <v>33</v>
      </c>
      <c r="D10" s="33" t="s">
        <v>34</v>
      </c>
      <c r="E10" s="32" t="s">
        <v>253</v>
      </c>
      <c r="F10" s="36">
        <f>290-J10</f>
        <v>232</v>
      </c>
      <c r="G10" s="35"/>
      <c r="H10" s="35">
        <f t="shared" si="0"/>
        <v>0</v>
      </c>
      <c r="J10" s="6">
        <v>58</v>
      </c>
      <c r="K10" s="10">
        <f>G10</f>
        <v>0</v>
      </c>
      <c r="L10" s="10">
        <f>ROUND(J10*K10,2)</f>
        <v>0</v>
      </c>
    </row>
    <row r="11" spans="1:12" ht="33.75" customHeight="1">
      <c r="A11" s="32" t="s">
        <v>35</v>
      </c>
      <c r="B11" s="32" t="s">
        <v>24</v>
      </c>
      <c r="C11" s="32" t="s">
        <v>36</v>
      </c>
      <c r="D11" s="33" t="s">
        <v>37</v>
      </c>
      <c r="E11" s="32" t="s">
        <v>253</v>
      </c>
      <c r="F11" s="36">
        <v>111</v>
      </c>
      <c r="G11" s="37"/>
      <c r="H11" s="35">
        <f t="shared" si="0"/>
        <v>0</v>
      </c>
      <c r="K11" s="10"/>
      <c r="L11" s="10"/>
    </row>
    <row r="12" spans="1:12" ht="24" customHeight="1">
      <c r="A12" s="32" t="s">
        <v>38</v>
      </c>
      <c r="B12" s="32" t="s">
        <v>24</v>
      </c>
      <c r="C12" s="32" t="s">
        <v>39</v>
      </c>
      <c r="D12" s="33" t="s">
        <v>40</v>
      </c>
      <c r="E12" s="32" t="s">
        <v>253</v>
      </c>
      <c r="F12" s="36">
        <f>1840-J12</f>
        <v>1525</v>
      </c>
      <c r="G12" s="37"/>
      <c r="H12" s="35">
        <f t="shared" si="0"/>
        <v>0</v>
      </c>
      <c r="J12" s="6">
        <v>315</v>
      </c>
      <c r="K12" s="10">
        <f>G12</f>
        <v>0</v>
      </c>
      <c r="L12" s="10">
        <f>ROUND(J12*K12,2)</f>
        <v>0</v>
      </c>
    </row>
    <row r="13" spans="1:12" ht="24" customHeight="1">
      <c r="A13" s="32" t="s">
        <v>41</v>
      </c>
      <c r="B13" s="32" t="s">
        <v>24</v>
      </c>
      <c r="C13" s="32" t="s">
        <v>42</v>
      </c>
      <c r="D13" s="33" t="s">
        <v>43</v>
      </c>
      <c r="E13" s="32" t="s">
        <v>253</v>
      </c>
      <c r="F13" s="36">
        <f>85-J13</f>
        <v>68</v>
      </c>
      <c r="G13" s="37"/>
      <c r="H13" s="35">
        <f t="shared" si="0"/>
        <v>0</v>
      </c>
      <c r="J13" s="6">
        <v>17</v>
      </c>
      <c r="K13" s="10">
        <f>G13</f>
        <v>0</v>
      </c>
      <c r="L13" s="10">
        <f>ROUND(J13*K13,2)</f>
        <v>0</v>
      </c>
    </row>
    <row r="14" spans="1:12" ht="24" customHeight="1">
      <c r="A14" s="32" t="s">
        <v>44</v>
      </c>
      <c r="B14" s="32" t="s">
        <v>24</v>
      </c>
      <c r="C14" s="32" t="s">
        <v>39</v>
      </c>
      <c r="D14" s="33" t="s">
        <v>45</v>
      </c>
      <c r="E14" s="32" t="s">
        <v>253</v>
      </c>
      <c r="F14" s="36">
        <v>11</v>
      </c>
      <c r="G14" s="37"/>
      <c r="H14" s="35">
        <f t="shared" si="0"/>
        <v>0</v>
      </c>
      <c r="K14" s="10"/>
      <c r="L14" s="10"/>
    </row>
    <row r="15" spans="1:12" ht="24" customHeight="1">
      <c r="A15" s="32" t="s">
        <v>46</v>
      </c>
      <c r="B15" s="32" t="s">
        <v>24</v>
      </c>
      <c r="C15" s="32" t="s">
        <v>47</v>
      </c>
      <c r="D15" s="33" t="s">
        <v>48</v>
      </c>
      <c r="E15" s="32" t="s">
        <v>49</v>
      </c>
      <c r="F15" s="36">
        <f>620-J15</f>
        <v>496</v>
      </c>
      <c r="G15" s="37"/>
      <c r="H15" s="35">
        <f t="shared" si="0"/>
        <v>0</v>
      </c>
      <c r="J15" s="6">
        <v>124</v>
      </c>
      <c r="K15" s="10">
        <f>G15</f>
        <v>0</v>
      </c>
      <c r="L15" s="10">
        <f>ROUND(J15*K15,2)</f>
        <v>0</v>
      </c>
    </row>
    <row r="16" spans="1:12" ht="33.75" customHeight="1">
      <c r="A16" s="32" t="s">
        <v>50</v>
      </c>
      <c r="B16" s="32" t="s">
        <v>24</v>
      </c>
      <c r="C16" s="32" t="s">
        <v>47</v>
      </c>
      <c r="D16" s="33" t="s">
        <v>51</v>
      </c>
      <c r="E16" s="32" t="s">
        <v>49</v>
      </c>
      <c r="F16" s="36">
        <f>735-J16</f>
        <v>628</v>
      </c>
      <c r="G16" s="35"/>
      <c r="H16" s="35">
        <f t="shared" si="0"/>
        <v>0</v>
      </c>
      <c r="J16" s="6">
        <v>107</v>
      </c>
      <c r="K16" s="10">
        <f>G16</f>
        <v>0</v>
      </c>
      <c r="L16" s="10">
        <f>ROUND(J16*K16,2)</f>
        <v>0</v>
      </c>
    </row>
    <row r="17" spans="1:12" ht="31.5" customHeight="1">
      <c r="A17" s="32" t="s">
        <v>52</v>
      </c>
      <c r="B17" s="32" t="s">
        <v>24</v>
      </c>
      <c r="C17" s="32" t="s">
        <v>53</v>
      </c>
      <c r="D17" s="33" t="s">
        <v>54</v>
      </c>
      <c r="E17" s="32" t="s">
        <v>49</v>
      </c>
      <c r="F17" s="36">
        <f>410-J17</f>
        <v>390</v>
      </c>
      <c r="G17" s="35"/>
      <c r="H17" s="35">
        <f t="shared" si="0"/>
        <v>0</v>
      </c>
      <c r="J17" s="6">
        <v>20</v>
      </c>
      <c r="K17" s="10">
        <f>G17</f>
        <v>0</v>
      </c>
      <c r="L17" s="10">
        <f>ROUND(J17*K17,2)</f>
        <v>0</v>
      </c>
    </row>
    <row r="18" spans="1:12" ht="33" customHeight="1">
      <c r="A18" s="32" t="s">
        <v>55</v>
      </c>
      <c r="B18" s="32" t="s">
        <v>24</v>
      </c>
      <c r="C18" s="32" t="s">
        <v>53</v>
      </c>
      <c r="D18" s="33" t="s">
        <v>56</v>
      </c>
      <c r="E18" s="32" t="s">
        <v>49</v>
      </c>
      <c r="F18" s="36">
        <v>40</v>
      </c>
      <c r="G18" s="35"/>
      <c r="H18" s="35">
        <f t="shared" si="0"/>
        <v>0</v>
      </c>
      <c r="K18" s="10"/>
      <c r="L18" s="10"/>
    </row>
    <row r="19" spans="1:8" ht="35.25" customHeight="1">
      <c r="A19" s="32" t="s">
        <v>57</v>
      </c>
      <c r="B19" s="32" t="s">
        <v>24</v>
      </c>
      <c r="C19" s="32" t="s">
        <v>53</v>
      </c>
      <c r="D19" s="33" t="s">
        <v>58</v>
      </c>
      <c r="E19" s="32" t="s">
        <v>49</v>
      </c>
      <c r="F19" s="36">
        <v>15</v>
      </c>
      <c r="G19" s="35"/>
      <c r="H19" s="35">
        <f t="shared" si="0"/>
        <v>0</v>
      </c>
    </row>
    <row r="20" spans="1:8" ht="36.75" customHeight="1">
      <c r="A20" s="32" t="s">
        <v>59</v>
      </c>
      <c r="B20" s="32" t="s">
        <v>24</v>
      </c>
      <c r="C20" s="32" t="s">
        <v>53</v>
      </c>
      <c r="D20" s="33" t="s">
        <v>60</v>
      </c>
      <c r="E20" s="32" t="s">
        <v>49</v>
      </c>
      <c r="F20" s="36">
        <v>85</v>
      </c>
      <c r="G20" s="35"/>
      <c r="H20" s="35">
        <f t="shared" si="0"/>
        <v>0</v>
      </c>
    </row>
    <row r="21" spans="1:8" ht="24" customHeight="1">
      <c r="A21" s="32" t="s">
        <v>61</v>
      </c>
      <c r="B21" s="32" t="s">
        <v>24</v>
      </c>
      <c r="C21" s="32" t="s">
        <v>53</v>
      </c>
      <c r="D21" s="33" t="s">
        <v>62</v>
      </c>
      <c r="E21" s="32" t="s">
        <v>254</v>
      </c>
      <c r="F21" s="36">
        <v>16</v>
      </c>
      <c r="G21" s="35"/>
      <c r="H21" s="35">
        <f t="shared" si="0"/>
        <v>0</v>
      </c>
    </row>
    <row r="22" spans="1:8" ht="36.75" customHeight="1">
      <c r="A22" s="32" t="s">
        <v>63</v>
      </c>
      <c r="B22" s="32" t="s">
        <v>24</v>
      </c>
      <c r="C22" s="32" t="s">
        <v>53</v>
      </c>
      <c r="D22" s="33" t="s">
        <v>64</v>
      </c>
      <c r="E22" s="32" t="s">
        <v>49</v>
      </c>
      <c r="F22" s="36">
        <v>9</v>
      </c>
      <c r="G22" s="35"/>
      <c r="H22" s="35">
        <f t="shared" si="0"/>
        <v>0</v>
      </c>
    </row>
    <row r="23" spans="1:8" ht="36" customHeight="1">
      <c r="A23" s="32" t="s">
        <v>65</v>
      </c>
      <c r="B23" s="32" t="s">
        <v>24</v>
      </c>
      <c r="C23" s="32" t="s">
        <v>53</v>
      </c>
      <c r="D23" s="33" t="s">
        <v>66</v>
      </c>
      <c r="E23" s="32" t="s">
        <v>67</v>
      </c>
      <c r="F23" s="36">
        <v>1</v>
      </c>
      <c r="G23" s="35"/>
      <c r="H23" s="35">
        <f t="shared" si="0"/>
        <v>0</v>
      </c>
    </row>
    <row r="24" spans="1:8" ht="36.75" customHeight="1">
      <c r="A24" s="32" t="s">
        <v>68</v>
      </c>
      <c r="B24" s="32" t="s">
        <v>24</v>
      </c>
      <c r="C24" s="32" t="s">
        <v>69</v>
      </c>
      <c r="D24" s="33" t="s">
        <v>70</v>
      </c>
      <c r="E24" s="32" t="s">
        <v>254</v>
      </c>
      <c r="F24" s="36">
        <v>683</v>
      </c>
      <c r="G24" s="35"/>
      <c r="H24" s="35">
        <f t="shared" si="0"/>
        <v>0</v>
      </c>
    </row>
    <row r="25" spans="1:8" ht="24" customHeight="1">
      <c r="A25" s="32" t="s">
        <v>71</v>
      </c>
      <c r="B25" s="32" t="s">
        <v>24</v>
      </c>
      <c r="C25" s="32" t="s">
        <v>72</v>
      </c>
      <c r="D25" s="33" t="s">
        <v>73</v>
      </c>
      <c r="E25" s="32" t="s">
        <v>74</v>
      </c>
      <c r="F25" s="36">
        <v>12</v>
      </c>
      <c r="G25" s="35"/>
      <c r="H25" s="35">
        <f t="shared" si="0"/>
        <v>0</v>
      </c>
    </row>
    <row r="26" spans="1:8" ht="24" customHeight="1">
      <c r="A26" s="32" t="s">
        <v>75</v>
      </c>
      <c r="B26" s="32" t="s">
        <v>24</v>
      </c>
      <c r="C26" s="32" t="s">
        <v>76</v>
      </c>
      <c r="D26" s="33" t="s">
        <v>77</v>
      </c>
      <c r="E26" s="32" t="s">
        <v>74</v>
      </c>
      <c r="F26" s="36">
        <v>16</v>
      </c>
      <c r="G26" s="37"/>
      <c r="H26" s="35">
        <f t="shared" si="0"/>
        <v>0</v>
      </c>
    </row>
    <row r="27" spans="1:8" ht="24" customHeight="1">
      <c r="A27" s="32" t="s">
        <v>78</v>
      </c>
      <c r="B27" s="32" t="s">
        <v>79</v>
      </c>
      <c r="C27" s="32" t="s">
        <v>80</v>
      </c>
      <c r="D27" s="33" t="s">
        <v>81</v>
      </c>
      <c r="E27" s="32" t="s">
        <v>49</v>
      </c>
      <c r="F27" s="36">
        <v>10</v>
      </c>
      <c r="G27" s="35"/>
      <c r="H27" s="35">
        <f t="shared" si="0"/>
        <v>0</v>
      </c>
    </row>
    <row r="28" spans="1:8" ht="39" customHeight="1">
      <c r="A28" s="32" t="s">
        <v>82</v>
      </c>
      <c r="B28" s="32" t="s">
        <v>24</v>
      </c>
      <c r="C28" s="32" t="s">
        <v>53</v>
      </c>
      <c r="D28" s="33" t="s">
        <v>83</v>
      </c>
      <c r="E28" s="32" t="s">
        <v>49</v>
      </c>
      <c r="F28" s="36">
        <v>10</v>
      </c>
      <c r="G28" s="35"/>
      <c r="H28" s="35">
        <f t="shared" si="0"/>
        <v>0</v>
      </c>
    </row>
    <row r="29" spans="1:8" ht="34.5" customHeight="1">
      <c r="A29" s="32" t="s">
        <v>84</v>
      </c>
      <c r="B29" s="32" t="s">
        <v>24</v>
      </c>
      <c r="C29" s="32" t="s">
        <v>53</v>
      </c>
      <c r="D29" s="33" t="s">
        <v>85</v>
      </c>
      <c r="E29" s="32" t="s">
        <v>22</v>
      </c>
      <c r="F29" s="36">
        <v>1</v>
      </c>
      <c r="G29" s="35"/>
      <c r="H29" s="35">
        <f t="shared" si="0"/>
        <v>0</v>
      </c>
    </row>
    <row r="30" spans="1:8" ht="36.75" customHeight="1">
      <c r="A30" s="32" t="s">
        <v>86</v>
      </c>
      <c r="B30" s="32" t="s">
        <v>24</v>
      </c>
      <c r="C30" s="32" t="s">
        <v>53</v>
      </c>
      <c r="D30" s="33" t="s">
        <v>87</v>
      </c>
      <c r="E30" s="32" t="s">
        <v>22</v>
      </c>
      <c r="F30" s="36">
        <v>1</v>
      </c>
      <c r="G30" s="35"/>
      <c r="H30" s="35">
        <f t="shared" si="0"/>
        <v>0</v>
      </c>
    </row>
    <row r="31" spans="1:15" ht="12.75">
      <c r="A31" s="38"/>
      <c r="B31" s="39"/>
      <c r="C31" s="39"/>
      <c r="D31" s="40" t="s">
        <v>88</v>
      </c>
      <c r="E31" s="41"/>
      <c r="F31" s="42"/>
      <c r="G31" s="43"/>
      <c r="H31" s="31">
        <f>SUM(H6:H30)</f>
        <v>0</v>
      </c>
      <c r="I31" s="10">
        <f>ROUND(1.23*H31,2)</f>
        <v>0</v>
      </c>
      <c r="L31" s="9">
        <f>SUM(L6:L30)</f>
        <v>0</v>
      </c>
      <c r="M31" s="10">
        <f>ROUND(1.23*L31,2)</f>
        <v>0</v>
      </c>
      <c r="N31" s="12">
        <f>H31-L31</f>
        <v>0</v>
      </c>
      <c r="O31" s="10">
        <f>ROUND(1.23*N31,2)</f>
        <v>0</v>
      </c>
    </row>
    <row r="32" spans="1:8" ht="28.5" customHeight="1">
      <c r="A32" s="28" t="s">
        <v>10</v>
      </c>
      <c r="B32" s="28" t="s">
        <v>89</v>
      </c>
      <c r="C32" s="28" t="s">
        <v>10</v>
      </c>
      <c r="D32" s="30" t="s">
        <v>90</v>
      </c>
      <c r="E32" s="28" t="s">
        <v>10</v>
      </c>
      <c r="F32" s="31" t="s">
        <v>10</v>
      </c>
      <c r="G32" s="31" t="s">
        <v>10</v>
      </c>
      <c r="H32" s="31" t="s">
        <v>10</v>
      </c>
    </row>
    <row r="33" spans="1:8" ht="54" customHeight="1">
      <c r="A33" s="78" t="s">
        <v>91</v>
      </c>
      <c r="B33" s="78"/>
      <c r="C33" s="78"/>
      <c r="D33" s="78"/>
      <c r="E33" s="78"/>
      <c r="F33" s="78"/>
      <c r="G33" s="78"/>
      <c r="H33" s="78"/>
    </row>
    <row r="34" spans="1:12" ht="47.25" customHeight="1">
      <c r="A34" s="32" t="s">
        <v>92</v>
      </c>
      <c r="B34" s="32" t="s">
        <v>93</v>
      </c>
      <c r="C34" s="32" t="s">
        <v>94</v>
      </c>
      <c r="D34" s="33" t="s">
        <v>95</v>
      </c>
      <c r="E34" s="45" t="s">
        <v>254</v>
      </c>
      <c r="F34" s="36">
        <f>1879-J34</f>
        <v>1564</v>
      </c>
      <c r="G34" s="35"/>
      <c r="H34" s="37">
        <f aca="true" t="shared" si="1" ref="H34:H39">ROUND(G34*F34,2)</f>
        <v>0</v>
      </c>
      <c r="J34" s="6">
        <v>315</v>
      </c>
      <c r="K34" s="10">
        <f>G34</f>
        <v>0</v>
      </c>
      <c r="L34" s="10">
        <f>ROUND(J34*K34,2)</f>
        <v>0</v>
      </c>
    </row>
    <row r="35" spans="1:12" ht="50.25" customHeight="1">
      <c r="A35" s="32" t="s">
        <v>96</v>
      </c>
      <c r="B35" s="32" t="s">
        <v>24</v>
      </c>
      <c r="C35" s="32" t="s">
        <v>97</v>
      </c>
      <c r="D35" s="33" t="s">
        <v>98</v>
      </c>
      <c r="E35" s="45" t="s">
        <v>254</v>
      </c>
      <c r="F35" s="36">
        <f>1879-J35</f>
        <v>1564</v>
      </c>
      <c r="G35" s="37"/>
      <c r="H35" s="37">
        <f t="shared" si="1"/>
        <v>0</v>
      </c>
      <c r="J35" s="6">
        <v>315</v>
      </c>
      <c r="K35" s="10">
        <f>G35</f>
        <v>0</v>
      </c>
      <c r="L35" s="10">
        <f>ROUND(J35*K35,2)</f>
        <v>0</v>
      </c>
    </row>
    <row r="36" spans="1:12" ht="44.25" customHeight="1">
      <c r="A36" s="32" t="s">
        <v>99</v>
      </c>
      <c r="B36" s="32" t="s">
        <v>24</v>
      </c>
      <c r="C36" s="32" t="s">
        <v>94</v>
      </c>
      <c r="D36" s="33" t="s">
        <v>100</v>
      </c>
      <c r="E36" s="45" t="s">
        <v>254</v>
      </c>
      <c r="F36" s="36">
        <v>720</v>
      </c>
      <c r="G36" s="35"/>
      <c r="H36" s="37">
        <f t="shared" si="1"/>
        <v>0</v>
      </c>
      <c r="K36" s="10"/>
      <c r="L36" s="10"/>
    </row>
    <row r="37" spans="1:12" ht="40.5" customHeight="1">
      <c r="A37" s="32" t="s">
        <v>101</v>
      </c>
      <c r="B37" s="32" t="s">
        <v>102</v>
      </c>
      <c r="C37" s="32" t="s">
        <v>103</v>
      </c>
      <c r="D37" s="33" t="s">
        <v>104</v>
      </c>
      <c r="E37" s="32" t="s">
        <v>254</v>
      </c>
      <c r="F37" s="36">
        <v>720</v>
      </c>
      <c r="G37" s="35"/>
      <c r="H37" s="37">
        <f t="shared" si="1"/>
        <v>0</v>
      </c>
      <c r="K37" s="10"/>
      <c r="L37" s="10"/>
    </row>
    <row r="38" spans="1:12" ht="37.5" customHeight="1">
      <c r="A38" s="32" t="s">
        <v>105</v>
      </c>
      <c r="B38" s="32" t="s">
        <v>24</v>
      </c>
      <c r="C38" s="32" t="s">
        <v>106</v>
      </c>
      <c r="D38" s="33" t="s">
        <v>107</v>
      </c>
      <c r="E38" s="45" t="s">
        <v>254</v>
      </c>
      <c r="F38" s="36">
        <v>611</v>
      </c>
      <c r="G38" s="35"/>
      <c r="H38" s="37">
        <f t="shared" si="1"/>
        <v>0</v>
      </c>
      <c r="K38" s="10"/>
      <c r="L38" s="10"/>
    </row>
    <row r="39" spans="1:12" ht="24" customHeight="1">
      <c r="A39" s="32" t="s">
        <v>108</v>
      </c>
      <c r="B39" s="32" t="s">
        <v>24</v>
      </c>
      <c r="C39" s="32" t="s">
        <v>109</v>
      </c>
      <c r="D39" s="33" t="s">
        <v>110</v>
      </c>
      <c r="E39" s="32" t="s">
        <v>253</v>
      </c>
      <c r="F39" s="46">
        <v>1702</v>
      </c>
      <c r="G39" s="35"/>
      <c r="H39" s="37">
        <f t="shared" si="1"/>
        <v>0</v>
      </c>
      <c r="K39" s="10"/>
      <c r="L39" s="10"/>
    </row>
    <row r="40" spans="1:15" ht="12.75">
      <c r="A40" s="38"/>
      <c r="B40" s="39"/>
      <c r="C40" s="39"/>
      <c r="D40" s="40" t="s">
        <v>111</v>
      </c>
      <c r="E40" s="41"/>
      <c r="F40" s="42"/>
      <c r="G40" s="43"/>
      <c r="H40" s="31">
        <f>SUM(H34:H39)</f>
        <v>0</v>
      </c>
      <c r="I40" s="10">
        <f>ROUND(1.23*H40,2)</f>
        <v>0</v>
      </c>
      <c r="K40" s="10"/>
      <c r="L40" s="9">
        <f>SUM(L34:L39)</f>
        <v>0</v>
      </c>
      <c r="M40" s="10">
        <f>ROUND(1.23*L40,2)</f>
        <v>0</v>
      </c>
      <c r="N40" s="12">
        <f>H40-L40</f>
        <v>0</v>
      </c>
      <c r="O40" s="10">
        <f>ROUND(1.23*N40,2)</f>
        <v>0</v>
      </c>
    </row>
    <row r="41" spans="1:12" ht="22.5" customHeight="1">
      <c r="A41" s="28" t="s">
        <v>10</v>
      </c>
      <c r="B41" s="28" t="s">
        <v>112</v>
      </c>
      <c r="C41" s="28" t="s">
        <v>10</v>
      </c>
      <c r="D41" s="30" t="s">
        <v>113</v>
      </c>
      <c r="E41" s="28" t="s">
        <v>10</v>
      </c>
      <c r="F41" s="31" t="s">
        <v>10</v>
      </c>
      <c r="G41" s="31" t="s">
        <v>10</v>
      </c>
      <c r="H41" s="31" t="s">
        <v>10</v>
      </c>
      <c r="K41" s="10"/>
      <c r="L41" s="10"/>
    </row>
    <row r="42" spans="1:14" s="13" customFormat="1" ht="36" customHeight="1">
      <c r="A42" s="32" t="s">
        <v>114</v>
      </c>
      <c r="B42" s="32" t="s">
        <v>115</v>
      </c>
      <c r="C42" s="32" t="s">
        <v>116</v>
      </c>
      <c r="D42" s="33" t="s">
        <v>117</v>
      </c>
      <c r="E42" s="32" t="s">
        <v>253</v>
      </c>
      <c r="F42" s="36">
        <f>5249-J42</f>
        <v>4747</v>
      </c>
      <c r="G42" s="35"/>
      <c r="H42" s="35">
        <f aca="true" t="shared" si="2" ref="H42:H54">ROUND(F42*G42,2)</f>
        <v>0</v>
      </c>
      <c r="J42" s="6">
        <v>502</v>
      </c>
      <c r="K42" s="10">
        <f>G42</f>
        <v>0</v>
      </c>
      <c r="L42" s="10">
        <f>ROUND(J42*K42,2)</f>
        <v>0</v>
      </c>
      <c r="N42" s="14"/>
    </row>
    <row r="43" spans="1:14" s="13" customFormat="1" ht="34.5" customHeight="1">
      <c r="A43" s="32" t="s">
        <v>118</v>
      </c>
      <c r="B43" s="45" t="s">
        <v>119</v>
      </c>
      <c r="C43" s="32" t="s">
        <v>120</v>
      </c>
      <c r="D43" s="33" t="s">
        <v>121</v>
      </c>
      <c r="E43" s="32" t="s">
        <v>253</v>
      </c>
      <c r="F43" s="36">
        <v>2910</v>
      </c>
      <c r="G43" s="35"/>
      <c r="H43" s="35">
        <f t="shared" si="2"/>
        <v>0</v>
      </c>
      <c r="J43" s="15"/>
      <c r="K43" s="10"/>
      <c r="L43" s="10"/>
      <c r="N43" s="14"/>
    </row>
    <row r="44" spans="1:14" s="13" customFormat="1" ht="35.25" customHeight="1">
      <c r="A44" s="32" t="s">
        <v>122</v>
      </c>
      <c r="B44" s="32" t="s">
        <v>123</v>
      </c>
      <c r="C44" s="32" t="s">
        <v>124</v>
      </c>
      <c r="D44" s="33" t="s">
        <v>125</v>
      </c>
      <c r="E44" s="32" t="s">
        <v>253</v>
      </c>
      <c r="F44" s="36">
        <v>2339</v>
      </c>
      <c r="G44" s="35"/>
      <c r="H44" s="35">
        <f t="shared" si="2"/>
        <v>0</v>
      </c>
      <c r="J44" s="16"/>
      <c r="K44" s="10"/>
      <c r="L44" s="10"/>
      <c r="N44" s="14"/>
    </row>
    <row r="45" spans="1:14" s="13" customFormat="1" ht="24" customHeight="1">
      <c r="A45" s="32" t="s">
        <v>126</v>
      </c>
      <c r="B45" s="32" t="s">
        <v>127</v>
      </c>
      <c r="C45" s="32" t="s">
        <v>128</v>
      </c>
      <c r="D45" s="33" t="s">
        <v>129</v>
      </c>
      <c r="E45" s="32" t="s">
        <v>253</v>
      </c>
      <c r="F45" s="36">
        <v>2274</v>
      </c>
      <c r="G45" s="35"/>
      <c r="H45" s="35">
        <f t="shared" si="2"/>
        <v>0</v>
      </c>
      <c r="J45" s="6"/>
      <c r="K45" s="10"/>
      <c r="L45" s="10"/>
      <c r="N45" s="14"/>
    </row>
    <row r="46" spans="1:14" s="13" customFormat="1" ht="24" customHeight="1">
      <c r="A46" s="32" t="s">
        <v>130</v>
      </c>
      <c r="B46" s="32" t="s">
        <v>24</v>
      </c>
      <c r="C46" s="32" t="s">
        <v>131</v>
      </c>
      <c r="D46" s="33" t="s">
        <v>132</v>
      </c>
      <c r="E46" s="32" t="s">
        <v>253</v>
      </c>
      <c r="F46" s="36">
        <f>5449-J46</f>
        <v>4947</v>
      </c>
      <c r="G46" s="35"/>
      <c r="H46" s="35">
        <f t="shared" si="2"/>
        <v>0</v>
      </c>
      <c r="J46" s="6">
        <v>502</v>
      </c>
      <c r="K46" s="10">
        <f>G46</f>
        <v>0</v>
      </c>
      <c r="L46" s="10">
        <f>ROUND(J46*K46,2)</f>
        <v>0</v>
      </c>
      <c r="N46" s="14"/>
    </row>
    <row r="47" spans="1:14" s="13" customFormat="1" ht="24" customHeight="1">
      <c r="A47" s="32" t="s">
        <v>133</v>
      </c>
      <c r="B47" s="32" t="s">
        <v>24</v>
      </c>
      <c r="C47" s="32" t="s">
        <v>134</v>
      </c>
      <c r="D47" s="33" t="s">
        <v>135</v>
      </c>
      <c r="E47" s="32" t="s">
        <v>253</v>
      </c>
      <c r="F47" s="36">
        <v>2274</v>
      </c>
      <c r="G47" s="35"/>
      <c r="H47" s="35">
        <f t="shared" si="2"/>
        <v>0</v>
      </c>
      <c r="J47" s="16"/>
      <c r="K47" s="10"/>
      <c r="L47" s="10"/>
      <c r="N47" s="14"/>
    </row>
    <row r="48" spans="1:14" s="13" customFormat="1" ht="24" customHeight="1">
      <c r="A48" s="32" t="s">
        <v>136</v>
      </c>
      <c r="B48" s="32" t="s">
        <v>24</v>
      </c>
      <c r="C48" s="32" t="s">
        <v>134</v>
      </c>
      <c r="D48" s="33" t="s">
        <v>137</v>
      </c>
      <c r="E48" s="32" t="s">
        <v>253</v>
      </c>
      <c r="F48" s="36">
        <f>5449-J48</f>
        <v>4947</v>
      </c>
      <c r="G48" s="35"/>
      <c r="H48" s="35">
        <f t="shared" si="2"/>
        <v>0</v>
      </c>
      <c r="J48" s="6">
        <v>502</v>
      </c>
      <c r="K48" s="10">
        <f>G48</f>
        <v>0</v>
      </c>
      <c r="L48" s="10">
        <f>ROUND(J48*K48,2)</f>
        <v>0</v>
      </c>
      <c r="N48" s="14"/>
    </row>
    <row r="49" spans="1:14" s="13" customFormat="1" ht="34.5" customHeight="1">
      <c r="A49" s="32" t="s">
        <v>138</v>
      </c>
      <c r="B49" s="32" t="s">
        <v>139</v>
      </c>
      <c r="C49" s="32" t="s">
        <v>140</v>
      </c>
      <c r="D49" s="33" t="s">
        <v>141</v>
      </c>
      <c r="E49" s="32" t="s">
        <v>253</v>
      </c>
      <c r="F49" s="36">
        <v>2303</v>
      </c>
      <c r="G49" s="35"/>
      <c r="H49" s="35">
        <f t="shared" si="2"/>
        <v>0</v>
      </c>
      <c r="J49" s="16"/>
      <c r="K49" s="10"/>
      <c r="L49" s="10"/>
      <c r="N49" s="14"/>
    </row>
    <row r="50" spans="1:14" s="13" customFormat="1" ht="34.5" customHeight="1">
      <c r="A50" s="32" t="s">
        <v>142</v>
      </c>
      <c r="B50" s="32" t="s">
        <v>24</v>
      </c>
      <c r="C50" s="32" t="s">
        <v>143</v>
      </c>
      <c r="D50" s="33" t="s">
        <v>144</v>
      </c>
      <c r="E50" s="32" t="s">
        <v>253</v>
      </c>
      <c r="F50" s="36">
        <v>607</v>
      </c>
      <c r="G50" s="47"/>
      <c r="H50" s="35">
        <f t="shared" si="2"/>
        <v>0</v>
      </c>
      <c r="J50" s="16"/>
      <c r="K50" s="10"/>
      <c r="L50" s="10"/>
      <c r="N50" s="14"/>
    </row>
    <row r="51" spans="1:14" s="13" customFormat="1" ht="34.5" customHeight="1">
      <c r="A51" s="32" t="s">
        <v>145</v>
      </c>
      <c r="B51" s="32" t="s">
        <v>24</v>
      </c>
      <c r="C51" s="32" t="s">
        <v>146</v>
      </c>
      <c r="D51" s="33" t="s">
        <v>147</v>
      </c>
      <c r="E51" s="32" t="s">
        <v>253</v>
      </c>
      <c r="F51" s="36">
        <v>2274</v>
      </c>
      <c r="G51" s="35"/>
      <c r="H51" s="35">
        <f t="shared" si="2"/>
        <v>0</v>
      </c>
      <c r="J51" s="16"/>
      <c r="K51" s="10"/>
      <c r="L51" s="10"/>
      <c r="N51" s="14"/>
    </row>
    <row r="52" spans="1:14" s="13" customFormat="1" ht="30.75" customHeight="1">
      <c r="A52" s="32" t="s">
        <v>148</v>
      </c>
      <c r="B52" s="32" t="s">
        <v>149</v>
      </c>
      <c r="C52" s="32" t="s">
        <v>150</v>
      </c>
      <c r="D52" s="33" t="s">
        <v>151</v>
      </c>
      <c r="E52" s="32" t="s">
        <v>253</v>
      </c>
      <c r="F52" s="36">
        <v>65</v>
      </c>
      <c r="G52" s="35"/>
      <c r="H52" s="35">
        <f t="shared" si="2"/>
        <v>0</v>
      </c>
      <c r="J52" s="16"/>
      <c r="K52" s="10"/>
      <c r="L52" s="10"/>
      <c r="N52" s="14"/>
    </row>
    <row r="53" spans="1:14" s="13" customFormat="1" ht="32.25" customHeight="1">
      <c r="A53" s="32" t="s">
        <v>152</v>
      </c>
      <c r="B53" s="32" t="s">
        <v>153</v>
      </c>
      <c r="C53" s="32" t="s">
        <v>154</v>
      </c>
      <c r="D53" s="33" t="s">
        <v>155</v>
      </c>
      <c r="E53" s="32" t="s">
        <v>253</v>
      </c>
      <c r="F53" s="36">
        <v>1083</v>
      </c>
      <c r="G53" s="35"/>
      <c r="H53" s="35">
        <f t="shared" si="2"/>
        <v>0</v>
      </c>
      <c r="J53" s="16"/>
      <c r="K53" s="10"/>
      <c r="L53" s="10"/>
      <c r="N53" s="14"/>
    </row>
    <row r="54" spans="1:14" s="13" customFormat="1" ht="33" customHeight="1">
      <c r="A54" s="32" t="s">
        <v>156</v>
      </c>
      <c r="B54" s="39" t="s">
        <v>24</v>
      </c>
      <c r="C54" s="32" t="s">
        <v>154</v>
      </c>
      <c r="D54" s="33" t="s">
        <v>157</v>
      </c>
      <c r="E54" s="32" t="s">
        <v>253</v>
      </c>
      <c r="F54" s="48">
        <v>140</v>
      </c>
      <c r="G54" s="35"/>
      <c r="H54" s="35">
        <f t="shared" si="2"/>
        <v>0</v>
      </c>
      <c r="J54" s="16"/>
      <c r="K54" s="10"/>
      <c r="L54" s="10"/>
      <c r="N54" s="14"/>
    </row>
    <row r="55" spans="1:15" s="13" customFormat="1" ht="12.75">
      <c r="A55" s="38"/>
      <c r="B55" s="39"/>
      <c r="C55" s="39"/>
      <c r="D55" s="40" t="s">
        <v>158</v>
      </c>
      <c r="E55" s="39"/>
      <c r="F55" s="48"/>
      <c r="G55" s="47"/>
      <c r="H55" s="31">
        <f>SUM(H42:H54)</f>
        <v>0</v>
      </c>
      <c r="I55" s="10">
        <f>ROUND(1.23*H55,2)</f>
        <v>0</v>
      </c>
      <c r="J55" s="16"/>
      <c r="K55" s="10"/>
      <c r="L55" s="9">
        <f>SUM(L42:L54)</f>
        <v>0</v>
      </c>
      <c r="M55" s="10">
        <f>ROUND(1.23*L55,2)</f>
        <v>0</v>
      </c>
      <c r="N55" s="17">
        <f>H55-L55</f>
        <v>0</v>
      </c>
      <c r="O55" s="10">
        <f>ROUND(1.23*N55,2)</f>
        <v>0</v>
      </c>
    </row>
    <row r="56" spans="1:12" ht="32.25" customHeight="1">
      <c r="A56" s="28" t="s">
        <v>10</v>
      </c>
      <c r="B56" s="28" t="s">
        <v>159</v>
      </c>
      <c r="C56" s="28" t="s">
        <v>10</v>
      </c>
      <c r="D56" s="30" t="s">
        <v>160</v>
      </c>
      <c r="E56" s="28" t="s">
        <v>10</v>
      </c>
      <c r="F56" s="29" t="s">
        <v>10</v>
      </c>
      <c r="G56" s="31" t="s">
        <v>10</v>
      </c>
      <c r="H56" s="31" t="s">
        <v>10</v>
      </c>
      <c r="K56" s="10"/>
      <c r="L56" s="10"/>
    </row>
    <row r="57" spans="1:12" ht="36.75" customHeight="1">
      <c r="A57" s="32" t="s">
        <v>161</v>
      </c>
      <c r="B57" s="32" t="s">
        <v>162</v>
      </c>
      <c r="C57" s="32" t="s">
        <v>163</v>
      </c>
      <c r="D57" s="33" t="s">
        <v>164</v>
      </c>
      <c r="E57" s="32" t="s">
        <v>253</v>
      </c>
      <c r="F57" s="36">
        <v>77</v>
      </c>
      <c r="G57" s="35"/>
      <c r="H57" s="35">
        <f aca="true" t="shared" si="3" ref="H57:H68">ROUND(F57*G57,2)</f>
        <v>0</v>
      </c>
      <c r="K57" s="10"/>
      <c r="L57" s="10"/>
    </row>
    <row r="58" spans="1:12" ht="33" customHeight="1">
      <c r="A58" s="32" t="s">
        <v>165</v>
      </c>
      <c r="B58" s="32" t="s">
        <v>166</v>
      </c>
      <c r="C58" s="32" t="s">
        <v>167</v>
      </c>
      <c r="D58" s="33" t="s">
        <v>168</v>
      </c>
      <c r="E58" s="32" t="s">
        <v>253</v>
      </c>
      <c r="F58" s="36">
        <f>1051-J58</f>
        <v>541</v>
      </c>
      <c r="G58" s="35"/>
      <c r="H58" s="35">
        <f t="shared" si="3"/>
        <v>0</v>
      </c>
      <c r="J58" s="18">
        <v>510</v>
      </c>
      <c r="K58" s="10">
        <f>G58</f>
        <v>0</v>
      </c>
      <c r="L58" s="10">
        <f>ROUND(J58*K58,2)</f>
        <v>0</v>
      </c>
    </row>
    <row r="59" spans="1:12" ht="33" customHeight="1">
      <c r="A59" s="32" t="s">
        <v>169</v>
      </c>
      <c r="B59" s="32" t="s">
        <v>24</v>
      </c>
      <c r="C59" s="32" t="s">
        <v>167</v>
      </c>
      <c r="D59" s="33" t="s">
        <v>170</v>
      </c>
      <c r="E59" s="32" t="s">
        <v>253</v>
      </c>
      <c r="F59" s="36">
        <v>140</v>
      </c>
      <c r="G59" s="35"/>
      <c r="H59" s="35">
        <f t="shared" si="3"/>
        <v>0</v>
      </c>
      <c r="J59" s="18"/>
      <c r="K59" s="10"/>
      <c r="L59" s="10"/>
    </row>
    <row r="60" spans="1:12" ht="37.5" customHeight="1">
      <c r="A60" s="32" t="s">
        <v>171</v>
      </c>
      <c r="B60" s="32" t="s">
        <v>24</v>
      </c>
      <c r="C60" s="32" t="s">
        <v>167</v>
      </c>
      <c r="D60" s="33" t="s">
        <v>172</v>
      </c>
      <c r="E60" s="32" t="s">
        <v>253</v>
      </c>
      <c r="F60" s="36">
        <f>1335-J60</f>
        <v>825</v>
      </c>
      <c r="G60" s="35"/>
      <c r="H60" s="35">
        <f t="shared" si="3"/>
        <v>0</v>
      </c>
      <c r="J60" s="6">
        <v>510</v>
      </c>
      <c r="K60" s="10">
        <f>G60</f>
        <v>0</v>
      </c>
      <c r="L60" s="10">
        <f>ROUND(J60*K60,2)</f>
        <v>0</v>
      </c>
    </row>
    <row r="61" spans="1:12" ht="42" customHeight="1">
      <c r="A61" s="32" t="s">
        <v>173</v>
      </c>
      <c r="B61" s="32" t="s">
        <v>24</v>
      </c>
      <c r="C61" s="32" t="s">
        <v>174</v>
      </c>
      <c r="D61" s="33" t="s">
        <v>175</v>
      </c>
      <c r="E61" s="32" t="s">
        <v>176</v>
      </c>
      <c r="F61" s="49">
        <v>209</v>
      </c>
      <c r="G61" s="47"/>
      <c r="H61" s="35">
        <f t="shared" si="3"/>
        <v>0</v>
      </c>
      <c r="K61" s="10"/>
      <c r="L61" s="10"/>
    </row>
    <row r="62" spans="1:12" ht="34.5" customHeight="1">
      <c r="A62" s="32" t="s">
        <v>177</v>
      </c>
      <c r="B62" s="32" t="s">
        <v>178</v>
      </c>
      <c r="C62" s="32" t="s">
        <v>179</v>
      </c>
      <c r="D62" s="33" t="s">
        <v>180</v>
      </c>
      <c r="E62" s="32" t="s">
        <v>253</v>
      </c>
      <c r="F62" s="36">
        <f>4426-J62</f>
        <v>3916</v>
      </c>
      <c r="G62" s="35"/>
      <c r="H62" s="35">
        <f t="shared" si="3"/>
        <v>0</v>
      </c>
      <c r="J62" s="6">
        <v>510</v>
      </c>
      <c r="K62" s="10">
        <f>G62</f>
        <v>0</v>
      </c>
      <c r="L62" s="10">
        <f>ROUND(J62*K62,2)</f>
        <v>0</v>
      </c>
    </row>
    <row r="63" spans="1:12" ht="52.5" customHeight="1">
      <c r="A63" s="32" t="s">
        <v>181</v>
      </c>
      <c r="B63" s="32" t="s">
        <v>182</v>
      </c>
      <c r="C63" s="32" t="s">
        <v>183</v>
      </c>
      <c r="D63" s="33" t="s">
        <v>184</v>
      </c>
      <c r="E63" s="32" t="s">
        <v>253</v>
      </c>
      <c r="F63" s="36">
        <v>140</v>
      </c>
      <c r="G63" s="35"/>
      <c r="H63" s="35">
        <f t="shared" si="3"/>
        <v>0</v>
      </c>
      <c r="K63" s="10"/>
      <c r="L63" s="10"/>
    </row>
    <row r="64" spans="1:12" ht="34.5" customHeight="1">
      <c r="A64" s="32" t="s">
        <v>185</v>
      </c>
      <c r="B64" s="32" t="s">
        <v>186</v>
      </c>
      <c r="C64" s="32" t="s">
        <v>187</v>
      </c>
      <c r="D64" s="33" t="s">
        <v>188</v>
      </c>
      <c r="E64" s="32" t="s">
        <v>253</v>
      </c>
      <c r="F64" s="36">
        <v>2040</v>
      </c>
      <c r="G64" s="35"/>
      <c r="H64" s="35">
        <f t="shared" si="3"/>
        <v>0</v>
      </c>
      <c r="K64" s="10"/>
      <c r="L64" s="10"/>
    </row>
    <row r="65" spans="1:12" ht="39.75" customHeight="1">
      <c r="A65" s="32" t="s">
        <v>189</v>
      </c>
      <c r="B65" s="32" t="s">
        <v>24</v>
      </c>
      <c r="C65" s="32" t="s">
        <v>187</v>
      </c>
      <c r="D65" s="33" t="s">
        <v>190</v>
      </c>
      <c r="E65" s="32" t="s">
        <v>253</v>
      </c>
      <c r="F65" s="36">
        <v>1781</v>
      </c>
      <c r="G65" s="35"/>
      <c r="H65" s="35">
        <f t="shared" si="3"/>
        <v>0</v>
      </c>
      <c r="K65" s="10"/>
      <c r="L65" s="10"/>
    </row>
    <row r="66" spans="1:12" ht="36.75" customHeight="1">
      <c r="A66" s="32" t="s">
        <v>191</v>
      </c>
      <c r="B66" s="32" t="s">
        <v>192</v>
      </c>
      <c r="C66" s="32" t="s">
        <v>193</v>
      </c>
      <c r="D66" s="44" t="s">
        <v>194</v>
      </c>
      <c r="E66" s="32" t="s">
        <v>253</v>
      </c>
      <c r="F66" s="36">
        <v>1341</v>
      </c>
      <c r="G66" s="35"/>
      <c r="H66" s="35">
        <f t="shared" si="3"/>
        <v>0</v>
      </c>
      <c r="K66" s="10"/>
      <c r="L66" s="10"/>
    </row>
    <row r="67" spans="1:12" ht="40.5" customHeight="1">
      <c r="A67" s="32" t="s">
        <v>195</v>
      </c>
      <c r="B67" s="32" t="s">
        <v>24</v>
      </c>
      <c r="C67" s="32" t="s">
        <v>196</v>
      </c>
      <c r="D67" s="44" t="s">
        <v>197</v>
      </c>
      <c r="E67" s="32" t="s">
        <v>253</v>
      </c>
      <c r="F67" s="36">
        <f>1027-J67</f>
        <v>767</v>
      </c>
      <c r="G67" s="35"/>
      <c r="H67" s="35">
        <f t="shared" si="3"/>
        <v>0</v>
      </c>
      <c r="J67" s="6">
        <v>260</v>
      </c>
      <c r="K67" s="10">
        <f>G67</f>
        <v>0</v>
      </c>
      <c r="L67" s="10">
        <f>ROUND(J67*K67,2)</f>
        <v>0</v>
      </c>
    </row>
    <row r="68" spans="1:12" ht="38.25" customHeight="1">
      <c r="A68" s="32" t="s">
        <v>198</v>
      </c>
      <c r="B68" s="32" t="s">
        <v>24</v>
      </c>
      <c r="C68" s="32" t="s">
        <v>196</v>
      </c>
      <c r="D68" s="44" t="s">
        <v>199</v>
      </c>
      <c r="E68" s="32" t="s">
        <v>253</v>
      </c>
      <c r="F68" s="36">
        <f>355-J68</f>
        <v>310</v>
      </c>
      <c r="G68" s="35"/>
      <c r="H68" s="35">
        <f t="shared" si="3"/>
        <v>0</v>
      </c>
      <c r="J68" s="6">
        <v>45</v>
      </c>
      <c r="K68" s="10">
        <f>G68</f>
        <v>0</v>
      </c>
      <c r="L68" s="10">
        <f>ROUND(J68*K68,2)</f>
        <v>0</v>
      </c>
    </row>
    <row r="69" spans="1:15" ht="12.75">
      <c r="A69" s="38"/>
      <c r="B69" s="39"/>
      <c r="C69" s="39"/>
      <c r="D69" s="40" t="s">
        <v>200</v>
      </c>
      <c r="E69" s="50"/>
      <c r="F69" s="51"/>
      <c r="G69" s="52"/>
      <c r="H69" s="31">
        <f>SUM(H57:H68)</f>
        <v>0</v>
      </c>
      <c r="I69" s="10">
        <f>ROUND(1.23*H69,2)</f>
        <v>0</v>
      </c>
      <c r="K69" s="10"/>
      <c r="L69" s="9">
        <f>SUM(L57:L68)</f>
        <v>0</v>
      </c>
      <c r="M69" s="10">
        <f>ROUND(1.23*L69,2)</f>
        <v>0</v>
      </c>
      <c r="N69" s="12">
        <f>H69-L69</f>
        <v>0</v>
      </c>
      <c r="O69" s="10">
        <f>ROUND(1.23*N69,2)</f>
        <v>0</v>
      </c>
    </row>
    <row r="70" spans="1:12" ht="31.5" customHeight="1">
      <c r="A70" s="28" t="s">
        <v>10</v>
      </c>
      <c r="B70" s="28" t="s">
        <v>201</v>
      </c>
      <c r="C70" s="28" t="s">
        <v>10</v>
      </c>
      <c r="D70" s="30" t="s">
        <v>202</v>
      </c>
      <c r="E70" s="28" t="s">
        <v>10</v>
      </c>
      <c r="F70" s="29" t="s">
        <v>10</v>
      </c>
      <c r="G70" s="31" t="s">
        <v>10</v>
      </c>
      <c r="H70" s="31" t="s">
        <v>10</v>
      </c>
      <c r="K70" s="10"/>
      <c r="L70" s="10"/>
    </row>
    <row r="71" spans="1:12" ht="55.5" customHeight="1">
      <c r="A71" s="53" t="s">
        <v>203</v>
      </c>
      <c r="B71" s="32" t="s">
        <v>204</v>
      </c>
      <c r="C71" s="32" t="s">
        <v>143</v>
      </c>
      <c r="D71" s="33" t="s">
        <v>205</v>
      </c>
      <c r="E71" s="32" t="s">
        <v>253</v>
      </c>
      <c r="F71" s="46">
        <f>1702-J71</f>
        <v>1492</v>
      </c>
      <c r="G71" s="35"/>
      <c r="H71" s="35">
        <f>ROUND(F71*G71,2)</f>
        <v>0</v>
      </c>
      <c r="J71" s="6">
        <v>210</v>
      </c>
      <c r="K71" s="10">
        <f>G71</f>
        <v>0</v>
      </c>
      <c r="L71" s="10">
        <f>ROUND(J71*K71,2)</f>
        <v>0</v>
      </c>
    </row>
    <row r="72" spans="1:15" ht="12.75">
      <c r="A72" s="38"/>
      <c r="B72" s="39"/>
      <c r="C72" s="39"/>
      <c r="D72" s="40" t="s">
        <v>206</v>
      </c>
      <c r="E72" s="50"/>
      <c r="F72" s="51"/>
      <c r="G72" s="52"/>
      <c r="H72" s="31">
        <f>SUM(H71:H71)</f>
        <v>0</v>
      </c>
      <c r="I72" s="10">
        <f>ROUND(1.23*H72,2)</f>
        <v>0</v>
      </c>
      <c r="K72" s="10"/>
      <c r="L72" s="9">
        <f>SUM(L71:L71)</f>
        <v>0</v>
      </c>
      <c r="M72" s="10">
        <f>ROUND(1.23*L72,2)</f>
        <v>0</v>
      </c>
      <c r="N72" s="12">
        <f>H72-L72</f>
        <v>0</v>
      </c>
      <c r="O72" s="10">
        <f>ROUND(1.23*N72,2)</f>
        <v>0</v>
      </c>
    </row>
    <row r="73" spans="1:12" ht="38.25" customHeight="1">
      <c r="A73" s="28" t="s">
        <v>10</v>
      </c>
      <c r="B73" s="28" t="s">
        <v>207</v>
      </c>
      <c r="C73" s="28" t="s">
        <v>10</v>
      </c>
      <c r="D73" s="30" t="s">
        <v>208</v>
      </c>
      <c r="E73" s="28" t="s">
        <v>10</v>
      </c>
      <c r="F73" s="29" t="s">
        <v>10</v>
      </c>
      <c r="G73" s="31" t="s">
        <v>10</v>
      </c>
      <c r="H73" s="31" t="s">
        <v>10</v>
      </c>
      <c r="K73" s="10"/>
      <c r="L73" s="10"/>
    </row>
    <row r="74" spans="1:12" ht="32.25" customHeight="1">
      <c r="A74" s="32" t="s">
        <v>209</v>
      </c>
      <c r="B74" s="32" t="s">
        <v>210</v>
      </c>
      <c r="C74" s="32" t="s">
        <v>211</v>
      </c>
      <c r="D74" s="44" t="s">
        <v>212</v>
      </c>
      <c r="E74" s="32" t="s">
        <v>253</v>
      </c>
      <c r="F74" s="36">
        <f>456-J74</f>
        <v>446</v>
      </c>
      <c r="G74" s="37"/>
      <c r="H74" s="35">
        <f>ROUND(F74*G74,2)</f>
        <v>0</v>
      </c>
      <c r="J74" s="6">
        <v>10</v>
      </c>
      <c r="K74" s="10">
        <f>G74</f>
        <v>0</v>
      </c>
      <c r="L74" s="10">
        <f>ROUND(J74*K74,2)</f>
        <v>0</v>
      </c>
    </row>
    <row r="75" spans="1:12" ht="24" customHeight="1">
      <c r="A75" s="32" t="s">
        <v>213</v>
      </c>
      <c r="B75" s="32" t="s">
        <v>214</v>
      </c>
      <c r="C75" s="32" t="s">
        <v>215</v>
      </c>
      <c r="D75" s="33" t="s">
        <v>216</v>
      </c>
      <c r="E75" s="32" t="s">
        <v>74</v>
      </c>
      <c r="F75" s="36">
        <f>51-J75</f>
        <v>48</v>
      </c>
      <c r="G75" s="37"/>
      <c r="H75" s="35">
        <f>ROUND(F75*G75,2)</f>
        <v>0</v>
      </c>
      <c r="J75" s="6">
        <v>3</v>
      </c>
      <c r="K75" s="10">
        <f>G75</f>
        <v>0</v>
      </c>
      <c r="L75" s="10">
        <f>ROUND(J75*K75,2)</f>
        <v>0</v>
      </c>
    </row>
    <row r="76" spans="1:12" ht="24" customHeight="1">
      <c r="A76" s="32" t="s">
        <v>217</v>
      </c>
      <c r="B76" s="32" t="s">
        <v>24</v>
      </c>
      <c r="C76" s="32" t="s">
        <v>218</v>
      </c>
      <c r="D76" s="33" t="s">
        <v>219</v>
      </c>
      <c r="E76" s="32" t="s">
        <v>74</v>
      </c>
      <c r="F76" s="36">
        <f>65-J76</f>
        <v>62</v>
      </c>
      <c r="G76" s="35"/>
      <c r="H76" s="35">
        <f>ROUND(F76*G76,2)</f>
        <v>0</v>
      </c>
      <c r="J76" s="6">
        <v>3</v>
      </c>
      <c r="K76" s="10">
        <f>G76</f>
        <v>0</v>
      </c>
      <c r="L76" s="10">
        <f>ROUND(J76*K76,2)</f>
        <v>0</v>
      </c>
    </row>
    <row r="77" spans="1:12" ht="24" customHeight="1">
      <c r="A77" s="32" t="s">
        <v>220</v>
      </c>
      <c r="B77" s="32" t="s">
        <v>24</v>
      </c>
      <c r="C77" s="32" t="s">
        <v>53</v>
      </c>
      <c r="D77" s="33" t="s">
        <v>221</v>
      </c>
      <c r="E77" s="32" t="s">
        <v>74</v>
      </c>
      <c r="F77" s="36">
        <v>6</v>
      </c>
      <c r="G77" s="35"/>
      <c r="H77" s="35">
        <f>ROUND(F77*G77,2)</f>
        <v>0</v>
      </c>
      <c r="K77" s="10"/>
      <c r="L77" s="10"/>
    </row>
    <row r="78" spans="1:14" s="61" customFormat="1" ht="46.5" customHeight="1">
      <c r="A78" s="84" t="s">
        <v>260</v>
      </c>
      <c r="B78" s="58" t="s">
        <v>258</v>
      </c>
      <c r="C78" s="32" t="s">
        <v>53</v>
      </c>
      <c r="D78" s="83" t="s">
        <v>259</v>
      </c>
      <c r="E78" s="58" t="s">
        <v>22</v>
      </c>
      <c r="F78" s="58">
        <v>1</v>
      </c>
      <c r="G78" s="59"/>
      <c r="H78" s="60">
        <f>ROUND(F78*G78,2)</f>
        <v>0</v>
      </c>
      <c r="J78" s="62"/>
      <c r="K78" s="63"/>
      <c r="L78" s="63"/>
      <c r="N78" s="64"/>
    </row>
    <row r="79" spans="1:15" ht="12.75">
      <c r="A79" s="38"/>
      <c r="B79" s="39"/>
      <c r="C79" s="39"/>
      <c r="D79" s="40" t="s">
        <v>222</v>
      </c>
      <c r="E79" s="50"/>
      <c r="F79" s="51"/>
      <c r="G79" s="52"/>
      <c r="H79" s="31">
        <f>SUM(H74:H78)</f>
        <v>0</v>
      </c>
      <c r="I79" s="10">
        <f>ROUND(1.23*H79,2)</f>
        <v>0</v>
      </c>
      <c r="K79" s="10"/>
      <c r="L79" s="9">
        <f>SUM(L74:L78)</f>
        <v>0</v>
      </c>
      <c r="M79" s="10">
        <f>ROUND(1.23*L79,2)</f>
        <v>0</v>
      </c>
      <c r="N79" s="12">
        <f>H79-L79</f>
        <v>0</v>
      </c>
      <c r="O79" s="10">
        <f>ROUND(1.23*N79,2)</f>
        <v>0</v>
      </c>
    </row>
    <row r="80" spans="1:12" ht="12.75">
      <c r="A80" s="28" t="s">
        <v>10</v>
      </c>
      <c r="B80" s="28" t="s">
        <v>223</v>
      </c>
      <c r="C80" s="28" t="s">
        <v>10</v>
      </c>
      <c r="D80" s="30" t="s">
        <v>224</v>
      </c>
      <c r="E80" s="28" t="s">
        <v>10</v>
      </c>
      <c r="F80" s="29" t="s">
        <v>10</v>
      </c>
      <c r="G80" s="31" t="s">
        <v>10</v>
      </c>
      <c r="H80" s="31" t="s">
        <v>10</v>
      </c>
      <c r="K80" s="10"/>
      <c r="L80" s="10"/>
    </row>
    <row r="81" spans="1:12" ht="42" customHeight="1">
      <c r="A81" s="32" t="s">
        <v>225</v>
      </c>
      <c r="B81" s="32" t="s">
        <v>226</v>
      </c>
      <c r="C81" s="32" t="s">
        <v>227</v>
      </c>
      <c r="D81" s="33" t="s">
        <v>228</v>
      </c>
      <c r="E81" s="32" t="s">
        <v>49</v>
      </c>
      <c r="F81" s="36">
        <f>1221-J81</f>
        <v>1026</v>
      </c>
      <c r="G81" s="35"/>
      <c r="H81" s="35">
        <f aca="true" t="shared" si="4" ref="H81:H87">ROUND(F81*G81,2)</f>
        <v>0</v>
      </c>
      <c r="J81" s="6">
        <v>195</v>
      </c>
      <c r="K81" s="10">
        <f>G81</f>
        <v>0</v>
      </c>
      <c r="L81" s="10">
        <f>ROUND(J81*K81,2)</f>
        <v>0</v>
      </c>
    </row>
    <row r="82" spans="1:12" ht="51.75" customHeight="1">
      <c r="A82" s="32" t="s">
        <v>229</v>
      </c>
      <c r="B82" s="45" t="s">
        <v>24</v>
      </c>
      <c r="C82" s="32" t="s">
        <v>227</v>
      </c>
      <c r="D82" s="33" t="s">
        <v>230</v>
      </c>
      <c r="E82" s="32" t="s">
        <v>49</v>
      </c>
      <c r="F82" s="36">
        <f>165-J82</f>
        <v>147</v>
      </c>
      <c r="G82" s="35"/>
      <c r="H82" s="35">
        <f t="shared" si="4"/>
        <v>0</v>
      </c>
      <c r="J82" s="6">
        <v>18</v>
      </c>
      <c r="K82" s="10">
        <f>G82</f>
        <v>0</v>
      </c>
      <c r="L82" s="10">
        <f>ROUND(J82*K82,2)</f>
        <v>0</v>
      </c>
    </row>
    <row r="83" spans="1:12" ht="50.25" customHeight="1">
      <c r="A83" s="32" t="s">
        <v>231</v>
      </c>
      <c r="B83" s="45" t="s">
        <v>24</v>
      </c>
      <c r="C83" s="32" t="s">
        <v>227</v>
      </c>
      <c r="D83" s="33" t="s">
        <v>232</v>
      </c>
      <c r="E83" s="32" t="s">
        <v>49</v>
      </c>
      <c r="F83" s="36">
        <v>14</v>
      </c>
      <c r="G83" s="35"/>
      <c r="H83" s="35">
        <f t="shared" si="4"/>
        <v>0</v>
      </c>
      <c r="K83" s="10"/>
      <c r="L83" s="10"/>
    </row>
    <row r="84" spans="1:12" ht="38.25" customHeight="1">
      <c r="A84" s="32" t="s">
        <v>233</v>
      </c>
      <c r="B84" s="45" t="s">
        <v>24</v>
      </c>
      <c r="C84" s="32" t="s">
        <v>234</v>
      </c>
      <c r="D84" s="33" t="s">
        <v>235</v>
      </c>
      <c r="E84" s="32" t="s">
        <v>49</v>
      </c>
      <c r="F84" s="36">
        <v>41</v>
      </c>
      <c r="G84" s="35"/>
      <c r="H84" s="35">
        <f t="shared" si="4"/>
        <v>0</v>
      </c>
      <c r="K84" s="10"/>
      <c r="L84" s="10"/>
    </row>
    <row r="85" spans="1:12" ht="42.75" customHeight="1">
      <c r="A85" s="32" t="s">
        <v>236</v>
      </c>
      <c r="B85" s="32" t="s">
        <v>237</v>
      </c>
      <c r="C85" s="32" t="s">
        <v>238</v>
      </c>
      <c r="D85" s="33" t="s">
        <v>239</v>
      </c>
      <c r="E85" s="32" t="s">
        <v>49</v>
      </c>
      <c r="F85" s="36">
        <f>1120-J85</f>
        <v>1095</v>
      </c>
      <c r="G85" s="35"/>
      <c r="H85" s="35">
        <f t="shared" si="4"/>
        <v>0</v>
      </c>
      <c r="J85" s="6">
        <v>25</v>
      </c>
      <c r="K85" s="10">
        <f>G85</f>
        <v>0</v>
      </c>
      <c r="L85" s="10">
        <f>ROUND(J85*K85,2)</f>
        <v>0</v>
      </c>
    </row>
    <row r="86" spans="1:8" ht="39" customHeight="1">
      <c r="A86" s="32" t="s">
        <v>240</v>
      </c>
      <c r="B86" s="45" t="s">
        <v>241</v>
      </c>
      <c r="C86" s="32" t="s">
        <v>242</v>
      </c>
      <c r="D86" s="33" t="s">
        <v>243</v>
      </c>
      <c r="E86" s="45" t="s">
        <v>49</v>
      </c>
      <c r="F86" s="46">
        <v>330</v>
      </c>
      <c r="G86" s="35"/>
      <c r="H86" s="35">
        <f t="shared" si="4"/>
        <v>0</v>
      </c>
    </row>
    <row r="87" spans="1:8" ht="44.25" customHeight="1">
      <c r="A87" s="32" t="s">
        <v>244</v>
      </c>
      <c r="B87" s="32" t="s">
        <v>245</v>
      </c>
      <c r="C87" s="32" t="s">
        <v>246</v>
      </c>
      <c r="D87" s="33" t="s">
        <v>247</v>
      </c>
      <c r="E87" s="32" t="s">
        <v>49</v>
      </c>
      <c r="F87" s="36">
        <v>475</v>
      </c>
      <c r="G87" s="35"/>
      <c r="H87" s="35">
        <f t="shared" si="4"/>
        <v>0</v>
      </c>
    </row>
    <row r="88" spans="1:15" ht="13.5" thickBot="1">
      <c r="A88" s="38"/>
      <c r="B88" s="39"/>
      <c r="C88" s="39"/>
      <c r="D88" s="40" t="s">
        <v>248</v>
      </c>
      <c r="E88" s="50"/>
      <c r="F88" s="54"/>
      <c r="G88" s="55"/>
      <c r="H88" s="31">
        <f>SUM(H81:H87)</f>
        <v>0</v>
      </c>
      <c r="I88" s="10">
        <f>ROUND(1.23*H88,2)</f>
        <v>0</v>
      </c>
      <c r="L88" s="19">
        <f>SUM(L81:L87)</f>
        <v>0</v>
      </c>
      <c r="M88" s="10">
        <f>ROUND(1.23*L88,2)</f>
        <v>0</v>
      </c>
      <c r="N88" s="12">
        <f>H88-L88</f>
        <v>0</v>
      </c>
      <c r="O88" s="10">
        <f>ROUND(1.23*N88,2)</f>
        <v>0</v>
      </c>
    </row>
    <row r="89" spans="1:15" ht="33" customHeight="1" thickBot="1">
      <c r="A89" s="79" t="s">
        <v>255</v>
      </c>
      <c r="B89" s="80"/>
      <c r="C89" s="80"/>
      <c r="D89" s="81"/>
      <c r="E89" s="72">
        <f>SUM(H31+H40+H55+H69+H72+H79+H88)</f>
        <v>0</v>
      </c>
      <c r="F89" s="72"/>
      <c r="G89" s="72"/>
      <c r="H89" s="72"/>
      <c r="L89" s="20">
        <f>L88+L79+L72+L55+L40+L31+L69</f>
        <v>0</v>
      </c>
      <c r="M89" s="20">
        <f>M88+M79+M72+M55+M40+M31+M69</f>
        <v>0</v>
      </c>
      <c r="N89" s="20">
        <f>N88+N79+N72+N55+N40+N31+N69</f>
        <v>0</v>
      </c>
      <c r="O89" s="20">
        <f>O88+O79+O72+O55+O40+O31+O69</f>
        <v>0</v>
      </c>
    </row>
    <row r="90" spans="1:15" ht="33.75" customHeight="1" thickBot="1">
      <c r="A90" s="65" t="s">
        <v>256</v>
      </c>
      <c r="B90" s="66"/>
      <c r="C90" s="66"/>
      <c r="D90" s="67"/>
      <c r="E90" s="68">
        <f>E89*0.23</f>
        <v>0</v>
      </c>
      <c r="F90" s="68"/>
      <c r="G90" s="68"/>
      <c r="H90" s="68"/>
      <c r="L90" s="21">
        <f>L89*0.23</f>
        <v>0</v>
      </c>
      <c r="M90" s="22"/>
      <c r="N90" s="21">
        <f>N89*0.23</f>
        <v>0</v>
      </c>
      <c r="O90" s="22"/>
    </row>
    <row r="91" spans="1:15" ht="36" customHeight="1" thickBot="1">
      <c r="A91" s="69" t="s">
        <v>257</v>
      </c>
      <c r="B91" s="70"/>
      <c r="C91" s="70"/>
      <c r="D91" s="71"/>
      <c r="E91" s="72">
        <f>E89+E90</f>
        <v>0</v>
      </c>
      <c r="F91" s="72"/>
      <c r="G91" s="72"/>
      <c r="H91" s="72"/>
      <c r="L91" s="23">
        <f>L89+L90</f>
        <v>0</v>
      </c>
      <c r="M91" s="24"/>
      <c r="N91" s="23">
        <f>N89+N90</f>
        <v>0</v>
      </c>
      <c r="O91" s="24"/>
    </row>
    <row r="92" spans="1:8" ht="69" customHeight="1">
      <c r="A92" s="73" t="s">
        <v>249</v>
      </c>
      <c r="B92" s="74"/>
      <c r="C92" s="74"/>
      <c r="D92" s="74"/>
      <c r="E92" s="74"/>
      <c r="F92" s="74"/>
      <c r="G92" s="74"/>
      <c r="H92" s="75"/>
    </row>
    <row r="93" spans="12:14" ht="12.75">
      <c r="L93" s="3" t="s">
        <v>250</v>
      </c>
      <c r="N93" s="7" t="s">
        <v>251</v>
      </c>
    </row>
  </sheetData>
  <sheetProtection selectLockedCells="1" selectUnlockedCells="1"/>
  <mergeCells count="11">
    <mergeCell ref="J2:L2"/>
    <mergeCell ref="A90:D90"/>
    <mergeCell ref="E90:H90"/>
    <mergeCell ref="A91:D91"/>
    <mergeCell ref="E91:H91"/>
    <mergeCell ref="A92:H92"/>
    <mergeCell ref="A1:H1"/>
    <mergeCell ref="A2:H2"/>
    <mergeCell ref="A33:H33"/>
    <mergeCell ref="A89:D89"/>
    <mergeCell ref="E89:H89"/>
  </mergeCells>
  <printOptions gridLines="1" horizontalCentered="1"/>
  <pageMargins left="0.9840277777777778" right="0.5902777777777778" top="0.5902777777777778" bottom="0.9840277777777778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</dc:creator>
  <cp:keywords/>
  <dc:description/>
  <cp:lastModifiedBy>PZD Nowa Sól</cp:lastModifiedBy>
  <cp:lastPrinted>2023-08-30T09:48:06Z</cp:lastPrinted>
  <dcterms:created xsi:type="dcterms:W3CDTF">1997-02-26T12:46:56Z</dcterms:created>
  <dcterms:modified xsi:type="dcterms:W3CDTF">2024-01-15T10:54:28Z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