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ichał\Desktop\Tunel Przetarg 2022-2023\1 - Budowa Tunelu\TOM IV - PRZEDMIARY ROBÓT\TOM IV - PRZEDMIARY ROBÓT\Przedmiar ZAKRES PKP PLK S.A\2. BRANŻA MOSTOWA\20.07.2023\"/>
    </mc:Choice>
  </mc:AlternateContent>
  <xr:revisionPtr revIDLastSave="0" documentId="8_{3E7B4709-04E9-4807-AB2F-BAD009EC55D5}" xr6:coauthVersionLast="47" xr6:coauthVersionMax="47" xr10:uidLastSave="{00000000-0000-0000-0000-000000000000}"/>
  <bookViews>
    <workbookView xWindow="-120" yWindow="-120" windowWidth="29040" windowHeight="15720" tabRatio="753" firstSheet="1" activeTab="5" xr2:uid="{00000000-000D-0000-FFFF-FFFF00000000}"/>
  </bookViews>
  <sheets>
    <sheet name="Tunel" sheetId="29" state="hidden" r:id="rId1"/>
    <sheet name="1.Tunel Całkowity" sheetId="33" r:id="rId2"/>
    <sheet name="2.Tunel PKP" sheetId="38" r:id="rId3"/>
    <sheet name="3.Tunel Sochaczew" sheetId="39" r:id="rId4"/>
    <sheet name="4.Perony i odtworzenie torów" sheetId="37" r:id="rId5"/>
    <sheet name="5.ścianki oporowe" sheetId="31" r:id="rId6"/>
  </sheets>
  <definedNames>
    <definedName name="_1._WSTĘP_4" localSheetId="1">'1.Tunel Całkowity'!#REF!</definedName>
    <definedName name="_1._WSTĘP_4" localSheetId="2">'2.Tunel PKP'!#REF!</definedName>
    <definedName name="_1._WSTĘP_4" localSheetId="3">'3.Tunel Sochaczew'!#REF!</definedName>
    <definedName name="_1._WSTĘP_4" localSheetId="0">Tunel!#REF!</definedName>
    <definedName name="_xlnm.Print_Area" localSheetId="1">'1.Tunel Całkowity'!$A$1:$F$161</definedName>
    <definedName name="_xlnm.Print_Area" localSheetId="2">'2.Tunel PKP'!$A$1:$E$161</definedName>
    <definedName name="_xlnm.Print_Area" localSheetId="3">'3.Tunel Sochaczew'!$A$1:$F$161</definedName>
    <definedName name="_xlnm.Print_Area" localSheetId="4">'4.Perony i odtworzenie torów'!$A$1:$E$35</definedName>
    <definedName name="_xlnm.Print_Area" localSheetId="5">'5.ścianki oporowe'!$A$1:$E$32</definedName>
    <definedName name="_xlnm.Print_Area" localSheetId="0">Tunel!$A$1:$G$66</definedName>
    <definedName name="_xlnm.Print_Titles" localSheetId="1">'1.Tunel Całkowity'!$1:$3</definedName>
    <definedName name="_xlnm.Print_Titles" localSheetId="2">'2.Tunel PKP'!$1:$3</definedName>
    <definedName name="_xlnm.Print_Titles" localSheetId="3">'3.Tunel Sochaczew'!$1:$3</definedName>
    <definedName name="_xlnm.Print_Titles" localSheetId="0">Tunel!$1:$3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7" l="1"/>
  <c r="J17" i="37"/>
  <c r="E143" i="38"/>
  <c r="E145" i="38"/>
  <c r="D157" i="38"/>
  <c r="D158" i="38"/>
  <c r="D159" i="38"/>
  <c r="F18" i="33"/>
  <c r="A12" i="31"/>
  <c r="A15" i="31" s="1"/>
  <c r="A21" i="31" s="1"/>
  <c r="A24" i="31" s="1"/>
  <c r="A28" i="31" s="1"/>
  <c r="E8" i="31"/>
  <c r="F147" i="39" l="1"/>
  <c r="F139" i="39"/>
  <c r="F131" i="39"/>
  <c r="F128" i="39"/>
  <c r="F132" i="39" s="1"/>
  <c r="F125" i="39"/>
  <c r="F120" i="39"/>
  <c r="F116" i="39"/>
  <c r="F108" i="39"/>
  <c r="F101" i="39"/>
  <c r="F94" i="39"/>
  <c r="F91" i="39" s="1"/>
  <c r="F87" i="39"/>
  <c r="F75" i="39"/>
  <c r="F69" i="39"/>
  <c r="F66" i="39"/>
  <c r="F63" i="39" s="1"/>
  <c r="F52" i="39"/>
  <c r="F35" i="39"/>
  <c r="F38" i="39"/>
  <c r="F32" i="39"/>
  <c r="F24" i="39" s="1"/>
  <c r="F15" i="39"/>
  <c r="F14" i="39"/>
  <c r="A12" i="39"/>
  <c r="A15" i="39" s="1"/>
  <c r="A18" i="39" s="1"/>
  <c r="A20" i="39" s="1"/>
  <c r="A24" i="39" s="1"/>
  <c r="A25" i="39" s="1"/>
  <c r="A26" i="39" s="1"/>
  <c r="A27" i="39" s="1"/>
  <c r="A35" i="39" s="1"/>
  <c r="A36" i="39" s="1"/>
  <c r="A37" i="39" s="1"/>
  <c r="A38" i="39" s="1"/>
  <c r="A43" i="39" s="1"/>
  <c r="A45" i="39" s="1"/>
  <c r="A49" i="39" s="1"/>
  <c r="A57" i="39" s="1"/>
  <c r="A62" i="39" s="1"/>
  <c r="A68" i="39" s="1"/>
  <c r="A71" i="39" s="1"/>
  <c r="A78" i="39" s="1"/>
  <c r="A90" i="39" s="1"/>
  <c r="A98" i="39" s="1"/>
  <c r="A105" i="39" s="1"/>
  <c r="A110" i="39" s="1"/>
  <c r="A113" i="39" s="1"/>
  <c r="A120" i="39" s="1"/>
  <c r="A125" i="39" s="1"/>
  <c r="A130" i="39" s="1"/>
  <c r="A138" i="39" s="1"/>
  <c r="A141" i="39" s="1"/>
  <c r="A142" i="39" s="1"/>
  <c r="A149" i="39" s="1"/>
  <c r="A152" i="39" s="1"/>
  <c r="A153" i="39" s="1"/>
  <c r="F7" i="39"/>
  <c r="E132" i="38"/>
  <c r="E126" i="38"/>
  <c r="E131" i="38" s="1"/>
  <c r="E125" i="38"/>
  <c r="E121" i="38"/>
  <c r="E114" i="38"/>
  <c r="E106" i="38"/>
  <c r="E99" i="38"/>
  <c r="E98" i="38" s="1"/>
  <c r="E92" i="38"/>
  <c r="E85" i="38"/>
  <c r="E80" i="38"/>
  <c r="E73" i="38"/>
  <c r="E72" i="38" s="1"/>
  <c r="E64" i="38"/>
  <c r="E59" i="38"/>
  <c r="E50" i="38"/>
  <c r="E45" i="38"/>
  <c r="E43" i="38"/>
  <c r="E39" i="38"/>
  <c r="E37" i="38" s="1"/>
  <c r="E30" i="38"/>
  <c r="E28" i="38"/>
  <c r="E20" i="38"/>
  <c r="E18" i="38"/>
  <c r="E13" i="38"/>
  <c r="E12" i="38" s="1"/>
  <c r="A12" i="38"/>
  <c r="A15" i="38" s="1"/>
  <c r="A18" i="38" s="1"/>
  <c r="A20" i="38" s="1"/>
  <c r="A24" i="38" s="1"/>
  <c r="A25" i="38" s="1"/>
  <c r="A26" i="38" s="1"/>
  <c r="A27" i="38" s="1"/>
  <c r="A35" i="38" s="1"/>
  <c r="A36" i="38" s="1"/>
  <c r="A37" i="38" s="1"/>
  <c r="A38" i="38" s="1"/>
  <c r="A43" i="38" s="1"/>
  <c r="A45" i="38" s="1"/>
  <c r="A49" i="38" s="1"/>
  <c r="A57" i="38" s="1"/>
  <c r="A62" i="38" s="1"/>
  <c r="A68" i="38" s="1"/>
  <c r="A71" i="38" s="1"/>
  <c r="A78" i="38" s="1"/>
  <c r="A90" i="38" s="1"/>
  <c r="A98" i="38" s="1"/>
  <c r="A105" i="38" s="1"/>
  <c r="A110" i="38" s="1"/>
  <c r="A113" i="38" s="1"/>
  <c r="A120" i="38" s="1"/>
  <c r="A125" i="38" s="1"/>
  <c r="A130" i="38" s="1"/>
  <c r="A138" i="38" s="1"/>
  <c r="A141" i="38" s="1"/>
  <c r="A142" i="38" s="1"/>
  <c r="A149" i="38" s="1"/>
  <c r="A152" i="38" s="1"/>
  <c r="A153" i="38" s="1"/>
  <c r="E7" i="38"/>
  <c r="E6" i="37"/>
  <c r="E7" i="37"/>
  <c r="E12" i="37"/>
  <c r="E13" i="37"/>
  <c r="E14" i="37"/>
  <c r="E18" i="37"/>
  <c r="E26" i="37"/>
  <c r="E28" i="37"/>
  <c r="E29" i="37"/>
  <c r="F12" i="39" l="1"/>
  <c r="F26" i="39"/>
  <c r="F49" i="39"/>
  <c r="F72" i="39"/>
  <c r="E38" i="38"/>
  <c r="E120" i="38"/>
  <c r="E35" i="38"/>
  <c r="E36" i="38"/>
  <c r="F98" i="39"/>
  <c r="E58" i="38"/>
  <c r="E25" i="38"/>
  <c r="F130" i="39"/>
  <c r="F27" i="39"/>
  <c r="F58" i="39"/>
  <c r="F36" i="39"/>
  <c r="F25" i="39"/>
  <c r="F37" i="39"/>
  <c r="E130" i="38"/>
  <c r="E24" i="38"/>
  <c r="E27" i="38"/>
  <c r="E49" i="38"/>
  <c r="E63" i="38"/>
  <c r="E91" i="38"/>
  <c r="E26" i="38"/>
  <c r="E17" i="37"/>
  <c r="E157" i="39" l="1"/>
  <c r="E158" i="39"/>
  <c r="E159" i="39" l="1"/>
  <c r="F94" i="33" l="1"/>
  <c r="F92" i="33"/>
  <c r="F87" i="33"/>
  <c r="F85" i="33"/>
  <c r="F80" i="33"/>
  <c r="F64" i="33"/>
  <c r="F66" i="33"/>
  <c r="F52" i="33"/>
  <c r="F50" i="33"/>
  <c r="F45" i="33"/>
  <c r="F43" i="33"/>
  <c r="F147" i="33" l="1"/>
  <c r="F145" i="33"/>
  <c r="F139" i="33"/>
  <c r="F101" i="33"/>
  <c r="F99" i="33"/>
  <c r="F73" i="33"/>
  <c r="F39" i="33"/>
  <c r="F38" i="33" s="1"/>
  <c r="F32" i="33"/>
  <c r="F30" i="33"/>
  <c r="F28" i="33"/>
  <c r="F14" i="33"/>
  <c r="F75" i="33"/>
  <c r="F69" i="33"/>
  <c r="F59" i="33"/>
  <c r="F58" i="33" s="1"/>
  <c r="F27" i="33" l="1"/>
  <c r="F98" i="33"/>
  <c r="F49" i="33"/>
  <c r="F72" i="33"/>
  <c r="F116" i="33" l="1"/>
  <c r="F114" i="33"/>
  <c r="F108" i="33"/>
  <c r="F106" i="33"/>
  <c r="F91" i="33"/>
  <c r="F63" i="33"/>
  <c r="F7" i="33"/>
  <c r="A12" i="33"/>
  <c r="A15" i="33" s="1"/>
  <c r="A18" i="33" l="1"/>
  <c r="A20" i="33" s="1"/>
  <c r="A24" i="33" s="1"/>
  <c r="A25" i="33" s="1"/>
  <c r="A26" i="33" s="1"/>
  <c r="A27" i="33" s="1"/>
  <c r="A35" i="33" s="1"/>
  <c r="A36" i="33" s="1"/>
  <c r="A37" i="33" s="1"/>
  <c r="A38" i="33" s="1"/>
  <c r="A43" i="33" s="1"/>
  <c r="A45" i="33" s="1"/>
  <c r="A49" i="33" s="1"/>
  <c r="A57" i="33" s="1"/>
  <c r="A62" i="33" s="1"/>
  <c r="A68" i="33" s="1"/>
  <c r="A71" i="33" s="1"/>
  <c r="F20" i="33"/>
  <c r="A78" i="33" l="1"/>
  <c r="A90" i="33" s="1"/>
  <c r="A98" i="33" s="1"/>
  <c r="A105" i="33" s="1"/>
  <c r="A110" i="33" s="1"/>
  <c r="A113" i="33" s="1"/>
  <c r="A120" i="33" s="1"/>
  <c r="A125" i="33" s="1"/>
  <c r="A130" i="33" s="1"/>
  <c r="A138" i="33" s="1"/>
  <c r="A141" i="33" s="1"/>
  <c r="A142" i="33" s="1"/>
  <c r="A149" i="33" s="1"/>
  <c r="A152" i="33" s="1"/>
  <c r="A153" i="33" s="1"/>
  <c r="G17" i="31"/>
  <c r="G13" i="31"/>
  <c r="E28" i="31"/>
  <c r="F126" i="33"/>
  <c r="F131" i="33" s="1"/>
  <c r="F25" i="33"/>
  <c r="F15" i="33"/>
  <c r="F37" i="33" l="1"/>
  <c r="F36" i="33"/>
  <c r="F26" i="33"/>
  <c r="F35" i="33"/>
  <c r="F24" i="33"/>
  <c r="F128" i="33" l="1"/>
  <c r="F132" i="33" s="1"/>
  <c r="F125" i="33"/>
  <c r="F143" i="33"/>
  <c r="E25" i="31"/>
  <c r="E22" i="31"/>
  <c r="E10" i="29"/>
  <c r="F121" i="33"/>
  <c r="F13" i="33"/>
  <c r="E57" i="29"/>
  <c r="G57" i="29" s="1"/>
  <c r="E58" i="29"/>
  <c r="G58" i="29" s="1"/>
  <c r="E55" i="29"/>
  <c r="E53" i="29"/>
  <c r="F43" i="29"/>
  <c r="E47" i="29"/>
  <c r="E48" i="29" s="1"/>
  <c r="E39" i="29"/>
  <c r="E36" i="29"/>
  <c r="E33" i="29"/>
  <c r="E31" i="29"/>
  <c r="E27" i="29"/>
  <c r="E25" i="29"/>
  <c r="E18" i="29"/>
  <c r="E16" i="29"/>
  <c r="E15" i="29"/>
  <c r="E13" i="29"/>
  <c r="E12" i="29"/>
  <c r="E9" i="29"/>
  <c r="G6" i="29"/>
  <c r="G56" i="29" l="1"/>
  <c r="F12" i="33"/>
  <c r="F120" i="33"/>
  <c r="F130" i="33"/>
  <c r="E29" i="29"/>
  <c r="F55" i="29"/>
  <c r="G43" i="29"/>
  <c r="G41" i="29" s="1"/>
  <c r="G40" i="29" s="1"/>
  <c r="G53" i="29"/>
  <c r="G52" i="29" s="1"/>
  <c r="G39" i="29"/>
  <c r="G38" i="29" s="1"/>
  <c r="G37" i="29" s="1"/>
  <c r="G10" i="29"/>
  <c r="G47" i="29"/>
  <c r="G46" i="29"/>
  <c r="G36" i="29"/>
  <c r="G34" i="29" s="1"/>
  <c r="G33" i="29"/>
  <c r="G13" i="29"/>
  <c r="G27" i="29"/>
  <c r="O16" i="29"/>
  <c r="O14" i="29"/>
  <c r="O15" i="29"/>
  <c r="K12" i="29"/>
  <c r="G31" i="29" s="1"/>
  <c r="J12" i="29"/>
  <c r="J10" i="29"/>
  <c r="K10" i="29"/>
  <c r="O11" i="29"/>
  <c r="K9" i="29"/>
  <c r="J9" i="29"/>
  <c r="K8" i="29"/>
  <c r="J8" i="29"/>
  <c r="K7" i="29"/>
  <c r="J7" i="29"/>
  <c r="L6" i="29"/>
  <c r="J6" i="29" s="1"/>
  <c r="L4" i="29"/>
  <c r="K4" i="29" s="1"/>
  <c r="L5" i="29"/>
  <c r="K5" i="29" s="1"/>
  <c r="O5" i="29"/>
  <c r="O6" i="29"/>
  <c r="O4" i="29"/>
  <c r="G18" i="29"/>
  <c r="G17" i="29" s="1"/>
  <c r="G15" i="29"/>
  <c r="G16" i="29"/>
  <c r="K2" i="29"/>
  <c r="G25" i="29" s="1"/>
  <c r="J2" i="29"/>
  <c r="O3" i="29"/>
  <c r="G12" i="29"/>
  <c r="G9" i="29"/>
  <c r="G62" i="29"/>
  <c r="G51" i="29"/>
  <c r="G50" i="29" s="1"/>
  <c r="F48" i="29"/>
  <c r="G64" i="29"/>
  <c r="G63" i="29"/>
  <c r="G5" i="29"/>
  <c r="G4" i="29" s="1"/>
  <c r="G60" i="29"/>
  <c r="G61" i="29"/>
  <c r="E158" i="33" l="1"/>
  <c r="G55" i="29"/>
  <c r="G54" i="29" s="1"/>
  <c r="G48" i="29"/>
  <c r="G45" i="29" s="1"/>
  <c r="G44" i="29" s="1"/>
  <c r="G11" i="29"/>
  <c r="O12" i="29"/>
  <c r="O9" i="29"/>
  <c r="O8" i="29"/>
  <c r="G14" i="29"/>
  <c r="J5" i="29"/>
  <c r="K6" i="29"/>
  <c r="G29" i="29" s="1"/>
  <c r="J4" i="29"/>
  <c r="O7" i="29"/>
  <c r="O10" i="29"/>
  <c r="G59" i="29"/>
  <c r="O2" i="29"/>
  <c r="G8" i="29"/>
  <c r="G49" i="29" l="1"/>
  <c r="E21" i="29"/>
  <c r="G21" i="29" s="1"/>
  <c r="G20" i="29" s="1"/>
  <c r="G19" i="29" s="1"/>
  <c r="G7" i="29"/>
  <c r="G23" i="29"/>
  <c r="G22" i="29" s="1"/>
  <c r="G65" i="29" l="1"/>
  <c r="E157" i="33" l="1"/>
  <c r="E159" i="33" l="1"/>
</calcChain>
</file>

<file path=xl/sharedStrings.xml><?xml version="1.0" encoding="utf-8"?>
<sst xmlns="http://schemas.openxmlformats.org/spreadsheetml/2006/main" count="1281" uniqueCount="350">
  <si>
    <t>Lp.</t>
  </si>
  <si>
    <t>ROBOTY PRZYGOTOWAWCZE</t>
  </si>
  <si>
    <t>FUNDAMENTOWANIE</t>
  </si>
  <si>
    <t>ZBROJENIE</t>
  </si>
  <si>
    <t>BETON</t>
  </si>
  <si>
    <t>ELEMENTY ZABEZPIECZAJĄCE</t>
  </si>
  <si>
    <t>KOSZTORYS INWESTORSKI</t>
  </si>
  <si>
    <t>Wyszczególnienie elementów rozliczeniowych</t>
  </si>
  <si>
    <t>Jedn.</t>
  </si>
  <si>
    <t>Ilość</t>
  </si>
  <si>
    <t>1</t>
  </si>
  <si>
    <t>3</t>
  </si>
  <si>
    <t>4</t>
  </si>
  <si>
    <t>5</t>
  </si>
  <si>
    <t>6</t>
  </si>
  <si>
    <t>7</t>
  </si>
  <si>
    <t>.</t>
  </si>
  <si>
    <t>Odtworzenie (wyznaczenie) trasy i punktów wysokościowych</t>
  </si>
  <si>
    <t>ryczałt</t>
  </si>
  <si>
    <t>m3</t>
  </si>
  <si>
    <t>szt</t>
  </si>
  <si>
    <t>Stal zbrojeniowa</t>
  </si>
  <si>
    <t>kg</t>
  </si>
  <si>
    <t>kpl</t>
  </si>
  <si>
    <t>Beton konstrukcyjny</t>
  </si>
  <si>
    <t>Beton niekonstrukcyjny</t>
  </si>
  <si>
    <t xml:space="preserve"> - klasy B15</t>
  </si>
  <si>
    <t>IZOLACJA I NAWIERZCHNIE</t>
  </si>
  <si>
    <t>Izolacja cienka</t>
  </si>
  <si>
    <t>m2</t>
  </si>
  <si>
    <t>m</t>
  </si>
  <si>
    <t>Elementy zabezpieczające obiektów mostowych</t>
  </si>
  <si>
    <t>Zabezpieczenie antykorozyjne powierzchni betonowych</t>
  </si>
  <si>
    <t xml:space="preserve"> - znaki wysokościowe na obiekcie</t>
  </si>
  <si>
    <t xml:space="preserve"> - stałe znaki wysokościowe w sąsiedztwie obiektu</t>
  </si>
  <si>
    <t>RAZEM:</t>
  </si>
  <si>
    <t xml:space="preserve">* ) Ceny jednostkowe i wartość robót należy podać w PLN z dokładnością do jednego grosza </t>
  </si>
  <si>
    <t xml:space="preserve"> - pozostałe powierzchnie odkryte</t>
  </si>
  <si>
    <t>komplet</t>
  </si>
  <si>
    <t>mb</t>
  </si>
  <si>
    <t>Cena jedn. NETTO [PLN] *)</t>
  </si>
  <si>
    <t>Wartość NETTO [PLN] *)</t>
  </si>
  <si>
    <t>Zamknięcia poszczególnych torów kolejowych na czas wykonania niezbędnych prac</t>
  </si>
  <si>
    <t>Kotwy chemiczne do montażu balustrady + żywica</t>
  </si>
  <si>
    <t>Wykopy w gruntach I-V kategorii</t>
  </si>
  <si>
    <t xml:space="preserve">Wykonanie ścianek z grodzic </t>
  </si>
  <si>
    <t>Beton klasy B25 i klas niższych w deskowaniu</t>
  </si>
  <si>
    <t>PREFABRYKATY BETONOWE</t>
  </si>
  <si>
    <t>Prefabrykaty betonowe</t>
  </si>
  <si>
    <t>Montaż prefabrykowanych desek gzymsowych</t>
  </si>
  <si>
    <t>Trzykrotne smarowanie powierzchni betonowych roztworem asfaltowym</t>
  </si>
  <si>
    <t>Zabezpieczenie przed graffiti</t>
  </si>
  <si>
    <t>Punkty pomiarowo - kontrolne obiektach inżynierskich</t>
  </si>
  <si>
    <t xml:space="preserve"> INNE ROBOTY</t>
  </si>
  <si>
    <t>stal</t>
  </si>
  <si>
    <t>beton</t>
  </si>
  <si>
    <t xml:space="preserve">szt. </t>
  </si>
  <si>
    <t>Roboty ziemne pod fundamenty i dojścia do peronów</t>
  </si>
  <si>
    <t>Kontrolne badania geotechniczne (wiercenia + sondowania CPT)</t>
  </si>
  <si>
    <t>Odwodnienie liniowe</t>
  </si>
  <si>
    <t>Balustrada ze stali nierdzewnej</t>
  </si>
  <si>
    <t>Przygotowanie dokumentacji powykonawczej.</t>
  </si>
  <si>
    <t>płyta denna</t>
  </si>
  <si>
    <t>kl1</t>
  </si>
  <si>
    <t>kl2</t>
  </si>
  <si>
    <t>kl3</t>
  </si>
  <si>
    <t>kl4</t>
  </si>
  <si>
    <t>płyty przejsciowe</t>
  </si>
  <si>
    <t>gzyms1</t>
  </si>
  <si>
    <t>gzyms2</t>
  </si>
  <si>
    <t>gzyms3</t>
  </si>
  <si>
    <t>Głębienie wykopów szczelinowych ciągłych o szerokości 1 m wraz z ściankami prowadzącymi</t>
  </si>
  <si>
    <t>Głębienie wykopów szczelinowych ciągłych o szerokości 0.8 m wraz z ściankami prowadzącymi</t>
  </si>
  <si>
    <t>Wykonanie stref przejściowych z betonu C 30/37</t>
  </si>
  <si>
    <t>Wykonanie ścian szczelinowych</t>
  </si>
  <si>
    <t>Strefa przejściowa</t>
  </si>
  <si>
    <t>ściany szcze 100 C</t>
  </si>
  <si>
    <t>sciany szcze 100 A</t>
  </si>
  <si>
    <t>sciany szcze 80 B</t>
  </si>
  <si>
    <t>rampa row</t>
  </si>
  <si>
    <t>Zbrojenie betonu stalą klasy B500SP</t>
  </si>
  <si>
    <t xml:space="preserve"> - klasy C30/37</t>
  </si>
  <si>
    <t>Beton płyty stropowej</t>
  </si>
  <si>
    <t xml:space="preserve"> - klasy C35/45</t>
  </si>
  <si>
    <t>Beton płyty dennej</t>
  </si>
  <si>
    <t>Beton ściany szczelinowej</t>
  </si>
  <si>
    <t>Beton płyty przejściowej</t>
  </si>
  <si>
    <t xml:space="preserve">Beton gzymsów </t>
  </si>
  <si>
    <t>Wytyczenie obiektu</t>
  </si>
  <si>
    <t>Okładzina ścian szczelinowych wraz z podwaliną na stelażu mocowanym do ścian szczelinowych.</t>
  </si>
  <si>
    <t>Mechaniczne wykonanie zasypki rygla dolnego pod nawierzchnią drogową</t>
  </si>
  <si>
    <t xml:space="preserve"> - fundamenty</t>
  </si>
  <si>
    <t>Betonowe obrzeża</t>
  </si>
  <si>
    <t xml:space="preserve"> - betonowe obrzeża pod okładziny tunelu</t>
  </si>
  <si>
    <t>Beton ścian oporowych</t>
  </si>
  <si>
    <t>Drenaże</t>
  </si>
  <si>
    <t xml:space="preserve"> - drenaż płyty nośnej</t>
  </si>
  <si>
    <t xml:space="preserve"> - drenaż płyty dennej</t>
  </si>
  <si>
    <t>Obiekt Mostowy w Teresinie</t>
  </si>
  <si>
    <t>Wbijanie ścianek o ciężarze 600kg/m z terenu lub rusztowań na głęb. wbicia 16m, grunt kat. IV</t>
  </si>
  <si>
    <t>Wbijanie ścianek o ciężarze 600kg/m z terenu lub rusztowań na głęb. wbicia 10m, grunt kat. IV</t>
  </si>
  <si>
    <t>Powiat Sochaczew</t>
  </si>
  <si>
    <t>Teren PKP - Zbrojenie betonu stalą klasy B500SP</t>
  </si>
  <si>
    <t>Powiat Sochaczew- Zbrojenie betonu stalą klasy B500SP</t>
  </si>
  <si>
    <t xml:space="preserve"> Teren PKP - beton klasy C35/45</t>
  </si>
  <si>
    <t xml:space="preserve"> Teren PKP - beton klasy klasy C35/45</t>
  </si>
  <si>
    <t xml:space="preserve"> Teren PKP - beton klasy C30/37</t>
  </si>
  <si>
    <t xml:space="preserve"> Powiat Sochaczew - beton klasy C30/37</t>
  </si>
  <si>
    <t xml:space="preserve"> Powiat Sochaczew - beton klasy C35/45</t>
  </si>
  <si>
    <t xml:space="preserve"> Powiat Sochaczew - beton klasy klasy C35/45</t>
  </si>
  <si>
    <t xml:space="preserve"> - klasy C 12/15</t>
  </si>
  <si>
    <t xml:space="preserve"> Teren PKP - beton klasy C 12/15</t>
  </si>
  <si>
    <t xml:space="preserve"> Powiat Sochaczew - beton klasy C 12/15</t>
  </si>
  <si>
    <t xml:space="preserve"> Teren PKP - Okładzina ścian szczelinowych</t>
  </si>
  <si>
    <t xml:space="preserve"> Powiat Sochaczew - Okładzina ścian szczelinowych</t>
  </si>
  <si>
    <t>Podział kosztów inwestorskich</t>
  </si>
  <si>
    <t>Cena</t>
  </si>
  <si>
    <t>szt.</t>
  </si>
  <si>
    <t xml:space="preserve"> - korytka+kratka z montażem</t>
  </si>
  <si>
    <t>płyta str.</t>
  </si>
  <si>
    <t xml:space="preserve"> - ścianki oporowe</t>
  </si>
  <si>
    <t>Wykonanie peronu tymczasowego w Teresinie</t>
  </si>
  <si>
    <t>Demontaż peronu tymczasowego w Teresinie</t>
  </si>
  <si>
    <t>*) Kosztorys obliczono obmiarowo, zgodnie z zaleceniami Zamawiającego. Ilości prac i materiałów potrzebnych do wykonania zadania po stronie Wykonawcy.</t>
  </si>
  <si>
    <t>Teren PKP -ściany szczelinowe ciągłe o szerokości 1 m (ramowe)</t>
  </si>
  <si>
    <t>Powiat Sochaczew - ściany szczelinowe ciągłe o szerokości 1 m (wspornikowe)</t>
  </si>
  <si>
    <t>Teren PKP</t>
  </si>
  <si>
    <t>„Wykonanie dokumentacji projektowej na budowę skrzyżowania wielopoziomowego linii kolejowej z przejściem pod linią kolejową w km 41,740 linii kolejowej nr 3 Warszawa-Kunowice, w ciągu drogi powiatowej nr 3837W w Teresinie” 
z udziałem finansowym PKP Polskie Linie Kolejowe S.A. w ramach projektu inwestycyjnego POIiŚ 5.1-35 pn. „Poprawa bezpieczeństwa na skrzyżowaniach linii kolejowych z drogami - Etap III”</t>
  </si>
  <si>
    <t>Teren PKP -ściany szczelinowe ciągłe o szerokości 1 m (wspornikowe)</t>
  </si>
  <si>
    <t>Teren PKP - ściany szczelinowe ciągłe o szerokości 0.8m (ramowe)</t>
  </si>
  <si>
    <t>Powiat Sochaczew -ściany szczelinowe ciągłe o szerokości 0.8m (ramowe)</t>
  </si>
  <si>
    <t xml:space="preserve"> Teren PKP - deska gzymsowa</t>
  </si>
  <si>
    <t xml:space="preserve"> Powiat Sochaczew - deska gzymsowa</t>
  </si>
  <si>
    <t>Balustrada/bariera ze stali nierdzewnej</t>
  </si>
  <si>
    <t xml:space="preserve"> Powiat Sochaczew - Bariero-balustrada</t>
  </si>
  <si>
    <t xml:space="preserve"> Teren PKP - Balustrada</t>
  </si>
  <si>
    <t>Elementy zabezpieczające-Balustrada ze stali nierdzewnej</t>
  </si>
  <si>
    <t>Podstawa</t>
  </si>
  <si>
    <t>KNR 2-33 0210- 02</t>
  </si>
  <si>
    <t>Kalkulacja własna</t>
  </si>
  <si>
    <t>KNR-W 2-02 1207-01</t>
  </si>
  <si>
    <t>ZKNR C-2 0703/06</t>
  </si>
  <si>
    <t>KNR K-01 0114-02</t>
  </si>
  <si>
    <t>KNNR 4 1308-02</t>
  </si>
  <si>
    <t xml:space="preserve"> - drenaż płyty dennej rura perforowana Teren PKP</t>
  </si>
  <si>
    <t xml:space="preserve"> - drenaż płyty nośnej rura perforowana Teren PKP</t>
  </si>
  <si>
    <t xml:space="preserve"> - drenaż płyty dennej rura perforowana Powiat Sochaczew</t>
  </si>
  <si>
    <t>Kalkulacja indywidualna</t>
  </si>
  <si>
    <t>KNR 2-10 1002-04</t>
  </si>
  <si>
    <t>CPV: 45100000-8</t>
  </si>
  <si>
    <t>CPV: 45221112-0</t>
  </si>
  <si>
    <t>KNR 2-10 0505-01</t>
  </si>
  <si>
    <t>KNR 2-10 0506-01</t>
  </si>
  <si>
    <t>Wypełnienie szczelin odcinkowych betonem lub iłobetonem</t>
  </si>
  <si>
    <t>Zbrojenie ścian nośnych</t>
  </si>
  <si>
    <t>KNR 2-10 0504-02</t>
  </si>
  <si>
    <t>Wypełnienie szczelin ciągłych o głębokości do 15 m bentonitem</t>
  </si>
  <si>
    <t>KNR 2-10 0503-02</t>
  </si>
  <si>
    <t>Wykonanie ścian szczelinowych o szerokości 1m</t>
  </si>
  <si>
    <t>Wykonanie ścian szczelinowych o szerokości 0.8m</t>
  </si>
  <si>
    <t>Głębienie wykopów szczelinowych ciągłych o szerokości 1 m głębokości do 15 m</t>
  </si>
  <si>
    <t>Głębienie wykopów szczelinowych ciągłych o szerokości 0.8 m głębokości do 15 m</t>
  </si>
  <si>
    <t>Stal zbrojeniowa klasa B500SP</t>
  </si>
  <si>
    <t>- Przygotowanie zbrojenia na budowie prętami o śr. 16-32 mm płyt ustrojów niosących pełnych bez wsporników;
- Montaż zbrojenia prętami o śr. 16-32 mm płyt ustrojów niosących pełnych bez wsporników</t>
  </si>
  <si>
    <t xml:space="preserve">KNR 2-33 0404-03;
KNR 2-33 0405-03
</t>
  </si>
  <si>
    <t>kalkulacja własna</t>
  </si>
  <si>
    <t>CPV: 45221214-5</t>
  </si>
  <si>
    <t>-</t>
  </si>
  <si>
    <t>M.01.01.01</t>
  </si>
  <si>
    <t>M.11.01.04</t>
  </si>
  <si>
    <t>M.11.01.01</t>
  </si>
  <si>
    <t>M.11.20.03</t>
  </si>
  <si>
    <t>M.11.03.06</t>
  </si>
  <si>
    <t>M.31.01.01</t>
  </si>
  <si>
    <t>M.12.01.02</t>
  </si>
  <si>
    <t>M.13.01.00</t>
  </si>
  <si>
    <t>M.13.02.01</t>
  </si>
  <si>
    <t>M.13.03.01</t>
  </si>
  <si>
    <t>M.15.02.03</t>
  </si>
  <si>
    <t xml:space="preserve">M.19.01.07 </t>
  </si>
  <si>
    <t>M.19.01.03</t>
  </si>
  <si>
    <t>M.20.01.04</t>
  </si>
  <si>
    <t>M.11.01.06a</t>
  </si>
  <si>
    <t>M.11.01.06</t>
  </si>
  <si>
    <t>M.20.01.14</t>
  </si>
  <si>
    <t>M.20.01.03</t>
  </si>
  <si>
    <t>Drogowa</t>
  </si>
  <si>
    <t>KNR 2-01 0207-02 analogia</t>
  </si>
  <si>
    <t>KNR-W 2-01 0222-01 analogia</t>
  </si>
  <si>
    <t>KNR 9-06 0103-11 analogia</t>
  </si>
  <si>
    <t>KNR 9-06 0101-08 analogia</t>
  </si>
  <si>
    <t>KNR 2-10 0503-02 analogia</t>
  </si>
  <si>
    <t>KNR 2-31-0111-03 analogia</t>
  </si>
  <si>
    <t>Kalulacja własna</t>
  </si>
  <si>
    <t>KNR-W 2-02 1207-01 analogia</t>
  </si>
  <si>
    <t>KNR 2-01 0119-03 analogia</t>
  </si>
  <si>
    <t>1. ROBOTY PRZYGOTOWAWCZE</t>
  </si>
  <si>
    <t>2. FUNDAMENTOWANIE</t>
  </si>
  <si>
    <t>a</t>
  </si>
  <si>
    <t>b</t>
  </si>
  <si>
    <t>c</t>
  </si>
  <si>
    <t>d</t>
  </si>
  <si>
    <t>e</t>
  </si>
  <si>
    <t>f</t>
  </si>
  <si>
    <t>3. ZBROJENIE</t>
  </si>
  <si>
    <t>4. BETON</t>
  </si>
  <si>
    <t>5. PREFABRYKATY BETONOWE</t>
  </si>
  <si>
    <t>6. IZOLACJA I NAWIERZCHNIE</t>
  </si>
  <si>
    <t>7. ELEMENTY ZABEZPIECZAJĄCE</t>
  </si>
  <si>
    <t>8.  INNE ROBOTY</t>
  </si>
  <si>
    <t>Teren PKP - roboty pomiarowe pod obiekt</t>
  </si>
  <si>
    <t xml:space="preserve">m </t>
  </si>
  <si>
    <t>Powiat Sochaczew  - roboty pomiarowe pod obiekt</t>
  </si>
  <si>
    <t>Izolacja</t>
  </si>
  <si>
    <t>M.20.01.02</t>
  </si>
  <si>
    <t>KNR 9-11 0201-04</t>
  </si>
  <si>
    <t xml:space="preserve"> Teren PKP - geowłóknina</t>
  </si>
  <si>
    <t xml:space="preserve"> Powiat Sochaczew - geowłóknina</t>
  </si>
  <si>
    <t>Pokryciepłyty stropowej papą termozgrzewalną jednowarstwową o grubośći 0.5cm</t>
  </si>
  <si>
    <t>Teren PKP - płyta stropowa</t>
  </si>
  <si>
    <t>M.15.02.04</t>
  </si>
  <si>
    <t>KNR 0-32 0622-02</t>
  </si>
  <si>
    <t xml:space="preserve"> Teren PKP - mata bentonitowa</t>
  </si>
  <si>
    <t xml:space="preserve"> Powiat Sochaczew - mata bentonitowa</t>
  </si>
  <si>
    <r>
      <t>Teren PKP - Wykopy w gruntach
obmiar: 450m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* 14.8m</t>
    </r>
  </si>
  <si>
    <r>
      <t>Powiat Sochaczew  - Wykopy w gruntach
obmiar: 703m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* 14.8m</t>
    </r>
  </si>
  <si>
    <r>
      <t>obmiar: 500m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* 14.8m</t>
    </r>
  </si>
  <si>
    <t>obmiar: 39m * 14m</t>
  </si>
  <si>
    <t>obmiar: 11m * 8m</t>
  </si>
  <si>
    <r>
      <t>obmiar: 595m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*1m*2</t>
    </r>
  </si>
  <si>
    <t>obmiar: 27m * 15.67 m</t>
  </si>
  <si>
    <t>obmiar: 38m*15,67m*0,8m</t>
  </si>
  <si>
    <r>
      <t>obmiar: 222,9m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+245,72m</t>
    </r>
    <r>
      <rPr>
        <vertAlign val="superscript"/>
        <sz val="10"/>
        <rFont val="Arial"/>
        <family val="2"/>
        <charset val="238"/>
      </rPr>
      <t>3</t>
    </r>
  </si>
  <si>
    <r>
      <t>obmiar: 1,4m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*15m*2</t>
    </r>
  </si>
  <si>
    <r>
      <t>obmiar: 189m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*20m/180m</t>
    </r>
  </si>
  <si>
    <r>
      <t>obmiar: 189m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*160m/180m</t>
    </r>
  </si>
  <si>
    <t>obmiar: 8,3m*2+4,6m*2+15,67m*2</t>
  </si>
  <si>
    <t>obmiar: 41,9m+48,5m+38,7m+44,9m</t>
  </si>
  <si>
    <t>obmiar: 51m*15m</t>
  </si>
  <si>
    <t>obmiar: 87m*15m</t>
  </si>
  <si>
    <t>obmiar: 35,36m*18,1m</t>
  </si>
  <si>
    <r>
      <t>obmiar: 200m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+140m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+110m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+165m</t>
    </r>
    <r>
      <rPr>
        <vertAlign val="superscript"/>
        <sz val="10"/>
        <rFont val="Arial"/>
        <family val="2"/>
        <charset val="238"/>
      </rPr>
      <t>2</t>
    </r>
  </si>
  <si>
    <r>
      <t>obmiar: 608m</t>
    </r>
    <r>
      <rPr>
        <vertAlign val="superscript"/>
        <sz val="10"/>
        <rFont val="Arial"/>
        <family val="2"/>
        <charset val="238"/>
      </rPr>
      <t>2</t>
    </r>
  </si>
  <si>
    <t>obmiar: 17,5m*2</t>
  </si>
  <si>
    <t>obmiar: 55m*4</t>
  </si>
  <si>
    <t>obmiar: 138m*4</t>
  </si>
  <si>
    <t>obmiar: (137*6+8*13,8+8)*50,8/138</t>
  </si>
  <si>
    <t>obmiar: (137*6+8*13,8+8)*87,2/138</t>
  </si>
  <si>
    <t>Zagęszczenie nasypów zagęszczarkami; grunty sypkie kat. I-III</t>
  </si>
  <si>
    <t xml:space="preserve">KNR 2-01-0236-03 </t>
  </si>
  <si>
    <t>obmiar: 0,5*(0,3m+1m)*20m*28.4m*2</t>
  </si>
  <si>
    <t>obmiar: 0,5*(1,7m+1m)*20m*28,4m*2</t>
  </si>
  <si>
    <t>obmiar: (60m*2)*13,17m+(11,9m+18,5m+8,67m+15m)*15,67m</t>
  </si>
  <si>
    <t>obmiar: 68814kg + 74956kg + 50,825m/138m*738372kg</t>
  </si>
  <si>
    <t>obmiar: 5562kg + 87,175m/138m*738372kg</t>
  </si>
  <si>
    <r>
      <t>obmiar: 50,825m/138m*2048,5m</t>
    </r>
    <r>
      <rPr>
        <vertAlign val="superscript"/>
        <sz val="10"/>
        <rFont val="Arial"/>
        <family val="2"/>
        <charset val="238"/>
      </rPr>
      <t>3</t>
    </r>
  </si>
  <si>
    <r>
      <t>obmiar: 87,175m/138m*2048,5m</t>
    </r>
    <r>
      <rPr>
        <vertAlign val="superscript"/>
        <sz val="10"/>
        <rFont val="Arial"/>
        <family val="2"/>
        <charset val="238"/>
      </rPr>
      <t>3</t>
    </r>
  </si>
  <si>
    <t>Beton klasy C20/25 i klas niższych</t>
  </si>
  <si>
    <t>Beton ochronny</t>
  </si>
  <si>
    <t>Beton klasy C25/30</t>
  </si>
  <si>
    <t>Płyta denna</t>
  </si>
  <si>
    <t>Płyta stropowa</t>
  </si>
  <si>
    <t xml:space="preserve"> Teren PKP - beton klasy C25/30</t>
  </si>
  <si>
    <t xml:space="preserve"> Powiat Sochaczew - beton klasy C25/30</t>
  </si>
  <si>
    <t>obmiar: 0</t>
  </si>
  <si>
    <t>obmiar: 32.205m*16,8m*0.1m</t>
  </si>
  <si>
    <t>obmiar: 137m*14,8m*0,24m*87,175m/138m</t>
  </si>
  <si>
    <t>obmiar: 137m*14,8m*0,24m*50,825m/138m</t>
  </si>
  <si>
    <t>Wbijanie ścianek szczelnych stalowych z grodzic; głębokość wbicia do 14 m, grunt kat. III</t>
  </si>
  <si>
    <t>Wbijanie ścianek szczelnych stalowych z grodzic; głębokość wbicia do 10 m, grunt kat. III</t>
  </si>
  <si>
    <t>Podbudowa z gruntu stabilizowanego cementem - grubość podbudowy po zagęszczeniu 20-100 cm - 125 kg cementu na 1 m3 podbudowy</t>
  </si>
  <si>
    <t>Betonowanie przy użyciu pompy - stopy, płyty i ławy fundamentowe</t>
  </si>
  <si>
    <t>Separacja warstw gruntu geowłókninami układanymi nad płytą denną</t>
  </si>
  <si>
    <t>KNR-W 2-02 0504 -01 Analogia</t>
  </si>
  <si>
    <t>Instalacja mat bentonitowych na stałych obudowach wykopów izolowanej konstrukcji - na płycie dennej</t>
  </si>
  <si>
    <r>
      <t>obmiar: 11,24m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+ 137m*14,8m*0,15m*87,175m/138m</t>
    </r>
  </si>
  <si>
    <t>Zabezpieczenie tunelu przed napływem wód gruntowych w czasie budowy</t>
  </si>
  <si>
    <r>
      <t xml:space="preserve">obmiar: </t>
    </r>
    <r>
      <rPr>
        <sz val="10"/>
        <rFont val="Arial"/>
        <family val="2"/>
        <charset val="238"/>
      </rPr>
      <t>137m*14,8m*0,15m*50,825m/138m</t>
    </r>
  </si>
  <si>
    <t>KNNR 1 0111-01</t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</si>
  <si>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</si>
  <si>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</si>
  <si>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Ułozenie geowłókniny </t>
  </si>
  <si>
    <t>2.12</t>
  </si>
  <si>
    <t xml:space="preserve">Balastowanie tłuczniem torów na podkładach strunobetonowych na wcześniej przygotowanej półwarstwie gr. 23 cm z podbiciem toru przy użyciu zespołu maszyn </t>
  </si>
  <si>
    <t>2.11</t>
  </si>
  <si>
    <t>Ułożenie rozjazdów zwyczajnych wraz z wybudowaniem tłucznia</t>
  </si>
  <si>
    <t>2.10</t>
  </si>
  <si>
    <t>km</t>
  </si>
  <si>
    <t>Ułożenie torów z szyn 60 na podkłądach strunobetonowych PS-83, przymocowanie sprzężyste SB-3 przy pomocy podciągu układowego</t>
  </si>
  <si>
    <t>135,000</t>
  </si>
  <si>
    <t>Balastowanie torów przy użyciu ciężkich maszyn torowych, rozstaw normalny, pospółka, wagon samowyładowczy typu Hopper</t>
  </si>
  <si>
    <t>6,000</t>
  </si>
  <si>
    <t>spoina</t>
  </si>
  <si>
    <t>Spawanie szyn metodą termitową, przy użyciu form suchych</t>
  </si>
  <si>
    <t>2,000</t>
  </si>
  <si>
    <t>tor</t>
  </si>
  <si>
    <t>Układanie różnych elementów nawierzchni kolejowej, elementy końca odbojnic dwutorowych na moście</t>
  </si>
  <si>
    <t>170,000</t>
  </si>
  <si>
    <t>Układanie różnych elementów nawierzchni kolejowej, odbojnice szynowe</t>
  </si>
  <si>
    <t>kpl.</t>
  </si>
  <si>
    <t>Układanie różnych elementów nawierzchni kolejowej, przyrząd wyrównawczy na moście</t>
  </si>
  <si>
    <t>0,200</t>
  </si>
  <si>
    <t>Mechaniczne układanie toru bezstykowego na podkładach strunobetonowych przy wykorzystaniu żurawia kołowego, przymocowanie klasyczne, rozstaw podkładów 0,60 m</t>
  </si>
  <si>
    <t>Materiały nawierzchniowe dla toru bezstykowego, przytwierdzenie sprężyste SB-3, szyny S 49, podkłady strunobetonowe, 3.4.B/SB-3, 4.1.C/SB-3</t>
  </si>
  <si>
    <t>Warstwa ochronna z niesortu na  na obiekcie 55cm</t>
  </si>
  <si>
    <t>Mechaniczne wykonanie zagęszczonej warstwy tłucznia na gotowym podtorzu, tłuczeń dostarczony załadowanymi wagonami</t>
  </si>
  <si>
    <t>Budowa/ odtworzenie  toru</t>
  </si>
  <si>
    <t xml:space="preserve">Ułożenie w stosy podładów strunonbetonowych </t>
  </si>
  <si>
    <t>t</t>
  </si>
  <si>
    <t xml:space="preserve">Wywiezienie stalowej nawierzchni kolejowej, szyny i akcesoriów kolejowych </t>
  </si>
  <si>
    <t>49,43 kg/m</t>
  </si>
  <si>
    <t xml:space="preserve">Ułożenie w stosy szyn </t>
  </si>
  <si>
    <t xml:space="preserve">Wybiernie z podtorza podsypki na gr .35cm </t>
  </si>
  <si>
    <t xml:space="preserve">Rozbiórka rozjazdów kolejowych </t>
  </si>
  <si>
    <t xml:space="preserve">Demontaż  torów z szyn UIC60 na podkładach strunobetonowych </t>
  </si>
  <si>
    <t>Roboty rozbiórkowe</t>
  </si>
  <si>
    <t>Demontaż i montaż torów na czas budowy zgodnie z projektem PW TOM IV/2</t>
  </si>
  <si>
    <t>S-ST</t>
  </si>
  <si>
    <t>Peron tymczasowy w Teresinie ( NR RYS. Schemat etapowania)*</t>
  </si>
  <si>
    <t>STWiORB</t>
  </si>
  <si>
    <t>Powiat Sochaczew  - Wykopy w gruntach
obmiar: 0</t>
  </si>
  <si>
    <t>obmiar:0</t>
  </si>
  <si>
    <t>obmiar: 85m+65m</t>
  </si>
  <si>
    <t>4.13</t>
  </si>
  <si>
    <t>D-01.02.04</t>
  </si>
  <si>
    <t>1.ZBROJENIE</t>
  </si>
  <si>
    <t>2.BETON</t>
  </si>
  <si>
    <t>3.IZOLACJA I NAWIERZCHNIE</t>
  </si>
  <si>
    <t>4.Elementy zabezpieczając</t>
  </si>
  <si>
    <t>Beton klasy C20/25 i klas niższych w deskowaniu</t>
  </si>
  <si>
    <r>
      <t>obmiar: 1,05m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+2,40m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+7,20m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+1,20m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+4,80m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+4,80m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+1,05m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+1,30m</t>
    </r>
    <r>
      <rPr>
        <vertAlign val="superscript"/>
        <sz val="8"/>
        <rFont val="Arial"/>
        <family val="2"/>
        <charset val="238"/>
      </rPr>
      <t>3</t>
    </r>
  </si>
  <si>
    <t>M.20.01.10</t>
  </si>
  <si>
    <t>obmiar: 5kg+11,3kg+33,9kg+4,95kg+20,6kg+21,8kg+4,35kg+5,45kg</t>
  </si>
  <si>
    <t>obmiar: 8,54m*(54,413m+47,178m)</t>
  </si>
  <si>
    <t>obmiar: =1,3m*(54,413m+47,178m)</t>
  </si>
  <si>
    <t>obmiar: 54m+46m</t>
  </si>
  <si>
    <t>obmiar: 1079kg+2462kg+7392kg+4808kg+4616kg+1121kg+1225kg+985kg</t>
  </si>
  <si>
    <t xml:space="preserve">PRZEDMIAR 
Obiekt Mostowy w Teresinie
</t>
  </si>
  <si>
    <t>PRZEDMIAR
Obiekt Mostowy w Teresinie
ZAKRES PKP PLK S.A.</t>
  </si>
  <si>
    <t>PRZEDMIAR
Obiekt Mostowy w Teresinie
ZAKRES POWIAT SOCHACZEW</t>
  </si>
  <si>
    <t>PRZEDMIAR
Ściany Oporowe
ZAKRES POWIAT SOCHACZEW</t>
  </si>
  <si>
    <t>Odwodnienie liniowe chodników - ujęte w przedmiarze b. sanitarnej</t>
  </si>
  <si>
    <r>
      <t xml:space="preserve">Roboty pomiarowe przy liniowych robotach ziemnych - trasa drogi w terenie równinnym
</t>
    </r>
    <r>
      <rPr>
        <sz val="10"/>
        <rFont val="Arial"/>
        <family val="2"/>
        <charset val="238"/>
      </rPr>
      <t>obmiar według ry. GEM-101</t>
    </r>
  </si>
  <si>
    <r>
      <t xml:space="preserve">Roboty ziemne wykonywane koparkami podsiębiernymi w gruncie kat. III z transportem urobku
</t>
    </r>
    <r>
      <rPr>
        <sz val="10"/>
        <rFont val="Arial"/>
        <family val="2"/>
        <charset val="238"/>
      </rPr>
      <t>obmiar według rys. OGL-200 i OGL-300</t>
    </r>
  </si>
  <si>
    <r>
      <t xml:space="preserve">Zasypywanie wykopów spycharkami w gruncie kat. III
</t>
    </r>
    <r>
      <rPr>
        <sz val="10"/>
        <rFont val="Arial"/>
        <family val="2"/>
        <charset val="238"/>
      </rPr>
      <t>materiał i obmiar według rys. OGL-300</t>
    </r>
  </si>
  <si>
    <r>
      <t xml:space="preserve">Okładzina ścian szczelinowych na stelażu mocowanym do ścian szczelinowych.
</t>
    </r>
    <r>
      <rPr>
        <sz val="10"/>
        <rFont val="Arial"/>
        <family val="2"/>
        <charset val="238"/>
      </rPr>
      <t>Szczegół rozwiązania na rys OGL-300</t>
    </r>
  </si>
  <si>
    <r>
      <t xml:space="preserve">Jet Grouting- przesłona iniekcja strumieniowa
</t>
    </r>
    <r>
      <rPr>
        <sz val="10"/>
        <rFont val="Arial"/>
        <family val="2"/>
        <charset val="238"/>
      </rPr>
      <t>szczegóły rozwiązania według rys. GEM-200</t>
    </r>
  </si>
  <si>
    <t>2.13</t>
  </si>
  <si>
    <t xml:space="preserve">Modyfikacja certyfikacji </t>
  </si>
  <si>
    <t>PRZEDMIAR
ZAKRES PKP PLK S.A.
Prace związane z budwą peronu tymczaowego i odtworzeniem torów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</si>
</sst>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8"/>
      <name val="MS Sans Serif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0"/>
      <color rgb="FF000000"/>
      <name val="PL Times New Roman"/>
      <charset val="238"/>
    </font>
    <font>
      <i/>
      <sz val="10"/>
      <color rgb="FF000000"/>
      <name val="Arial"/>
      <family val="2"/>
      <charset val="238"/>
    </font>
    <font>
      <sz val="10"/>
      <color rgb="FF000000"/>
      <name val="MS Sans Serif"/>
      <charset val="238"/>
    </font>
    <font>
      <sz val="10"/>
      <name val="MS Sans Serif"/>
      <charset val="238"/>
    </font>
    <font>
      <b/>
      <sz val="10"/>
      <color rgb="FF000000"/>
      <name val="Arial CE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Arial CE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0"/>
      <color theme="0"/>
      <name val="MS Sans Serif"/>
      <charset val="238"/>
    </font>
    <font>
      <sz val="8"/>
      <color theme="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D6DCE4"/>
      </patternFill>
    </fill>
    <fill>
      <patternFill patternType="solid">
        <fgColor rgb="FFF8CBAD"/>
        <bgColor rgb="FFF8CBAD"/>
      </patternFill>
    </fill>
    <fill>
      <patternFill patternType="solid">
        <fgColor rgb="FFFCE4D6"/>
        <bgColor rgb="FFFCE4D6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1" fillId="0" borderId="0" applyNumberFormat="0" applyBorder="0" applyProtection="0"/>
    <xf numFmtId="0" fontId="1" fillId="0" borderId="0"/>
    <xf numFmtId="0" fontId="21" fillId="0" borderId="0" applyNumberFormat="0" applyBorder="0" applyProtection="0"/>
  </cellStyleXfs>
  <cellXfs count="291">
    <xf numFmtId="0" fontId="0" fillId="0" borderId="0" xfId="0"/>
    <xf numFmtId="0" fontId="6" fillId="3" borderId="1" xfId="0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 vertical="top"/>
    </xf>
    <xf numFmtId="0" fontId="5" fillId="4" borderId="0" xfId="0" applyFont="1" applyFill="1" applyAlignment="1">
      <alignment horizontal="left"/>
    </xf>
    <xf numFmtId="0" fontId="6" fillId="2" borderId="1" xfId="0" applyFont="1" applyFill="1" applyBorder="1" applyAlignment="1">
      <alignment horizontal="right" vertical="top"/>
    </xf>
    <xf numFmtId="0" fontId="0" fillId="5" borderId="0" xfId="0" applyFill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right" vertical="top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quotePrefix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4" fillId="2" borderId="1" xfId="0" quotePrefix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quotePrefix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0" fillId="0" borderId="1" xfId="0" applyBorder="1"/>
    <xf numFmtId="0" fontId="6" fillId="7" borderId="1" xfId="0" applyFont="1" applyFill="1" applyBorder="1" applyAlignment="1">
      <alignment horizontal="right" vertical="top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quotePrefix="1" applyFont="1" applyFill="1" applyBorder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6" borderId="1" xfId="0" quotePrefix="1" applyFont="1" applyFill="1" applyBorder="1" applyAlignment="1">
      <alignment horizontal="center"/>
    </xf>
    <xf numFmtId="0" fontId="6" fillId="0" borderId="4" xfId="0" quotePrefix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right" vertical="center" wrapText="1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" fontId="6" fillId="0" borderId="4" xfId="0" quotePrefix="1" applyNumberFormat="1" applyFont="1" applyBorder="1" applyAlignment="1">
      <alignment horizontal="center" vertical="center"/>
    </xf>
    <xf numFmtId="4" fontId="5" fillId="2" borderId="1" xfId="0" quotePrefix="1" applyNumberFormat="1" applyFont="1" applyFill="1" applyBorder="1" applyAlignment="1">
      <alignment horizontal="right"/>
    </xf>
    <xf numFmtId="4" fontId="4" fillId="2" borderId="1" xfId="0" quotePrefix="1" applyNumberFormat="1" applyFont="1" applyFill="1" applyBorder="1" applyAlignment="1">
      <alignment horizontal="right"/>
    </xf>
    <xf numFmtId="4" fontId="6" fillId="5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0" fillId="0" borderId="1" xfId="0" applyNumberFormat="1" applyBorder="1"/>
    <xf numFmtId="4" fontId="0" fillId="0" borderId="0" xfId="0" applyNumberFormat="1"/>
    <xf numFmtId="4" fontId="6" fillId="6" borderId="1" xfId="0" applyNumberFormat="1" applyFont="1" applyFill="1" applyBorder="1" applyAlignment="1">
      <alignment horizontal="right"/>
    </xf>
    <xf numFmtId="4" fontId="6" fillId="5" borderId="1" xfId="0" quotePrefix="1" applyNumberFormat="1" applyFont="1" applyFill="1" applyBorder="1" applyAlignment="1">
      <alignment horizontal="right"/>
    </xf>
    <xf numFmtId="4" fontId="4" fillId="7" borderId="1" xfId="0" quotePrefix="1" applyNumberFormat="1" applyFont="1" applyFill="1" applyBorder="1" applyAlignment="1">
      <alignment horizontal="right"/>
    </xf>
    <xf numFmtId="4" fontId="6" fillId="6" borderId="1" xfId="0" quotePrefix="1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4" xfId="0" quotePrefix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3" fillId="12" borderId="19" xfId="2" applyFont="1" applyFill="1" applyBorder="1" applyAlignment="1">
      <alignment horizontal="right" vertical="center" wrapText="1"/>
    </xf>
    <xf numFmtId="0" fontId="13" fillId="12" borderId="20" xfId="2" applyFont="1" applyFill="1" applyBorder="1" applyAlignment="1">
      <alignment horizontal="center" vertical="center" wrapText="1"/>
    </xf>
    <xf numFmtId="4" fontId="13" fillId="12" borderId="20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right" vertical="top"/>
    </xf>
    <xf numFmtId="0" fontId="4" fillId="3" borderId="1" xfId="0" quotePrefix="1" applyFont="1" applyFill="1" applyBorder="1" applyAlignment="1">
      <alignment horizontal="center"/>
    </xf>
    <xf numFmtId="4" fontId="4" fillId="3" borderId="1" xfId="0" quotePrefix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" fontId="12" fillId="0" borderId="0" xfId="0" applyNumberFormat="1" applyFont="1"/>
    <xf numFmtId="0" fontId="12" fillId="5" borderId="0" xfId="0" applyFont="1" applyFill="1"/>
    <xf numFmtId="49" fontId="6" fillId="8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5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left" vertical="center"/>
    </xf>
    <xf numFmtId="0" fontId="15" fillId="12" borderId="25" xfId="2" applyFont="1" applyFill="1" applyBorder="1" applyAlignment="1">
      <alignment horizontal="center" vertical="center" wrapText="1"/>
    </xf>
    <xf numFmtId="0" fontId="15" fillId="12" borderId="26" xfId="2" applyFont="1" applyFill="1" applyBorder="1" applyAlignment="1">
      <alignment horizontal="center" vertical="center" wrapText="1"/>
    </xf>
    <xf numFmtId="0" fontId="15" fillId="12" borderId="27" xfId="2" applyFont="1" applyFill="1" applyBorder="1" applyAlignment="1">
      <alignment horizontal="center" vertical="center" wrapText="1"/>
    </xf>
    <xf numFmtId="4" fontId="15" fillId="12" borderId="27" xfId="2" applyNumberFormat="1" applyFont="1" applyFill="1" applyBorder="1" applyAlignment="1">
      <alignment horizontal="center" vertical="center" wrapText="1"/>
    </xf>
    <xf numFmtId="0" fontId="16" fillId="0" borderId="28" xfId="0" quotePrefix="1" applyFont="1" applyBorder="1" applyAlignment="1">
      <alignment horizontal="center" vertical="center"/>
    </xf>
    <xf numFmtId="0" fontId="16" fillId="0" borderId="4" xfId="0" quotePrefix="1" applyFont="1" applyBorder="1" applyAlignment="1">
      <alignment horizontal="center" vertical="center"/>
    </xf>
    <xf numFmtId="3" fontId="16" fillId="0" borderId="4" xfId="0" quotePrefix="1" applyNumberFormat="1" applyFont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left" vertical="center" wrapText="1" indent="3"/>
    </xf>
    <xf numFmtId="0" fontId="14" fillId="5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 indent="3"/>
    </xf>
    <xf numFmtId="0" fontId="16" fillId="3" borderId="1" xfId="0" applyFont="1" applyFill="1" applyBorder="1" applyAlignment="1">
      <alignment horizontal="left" vertical="center"/>
    </xf>
    <xf numFmtId="0" fontId="16" fillId="3" borderId="1" xfId="0" quotePrefix="1" applyFont="1" applyFill="1" applyBorder="1" applyAlignment="1">
      <alignment horizontal="center"/>
    </xf>
    <xf numFmtId="4" fontId="16" fillId="3" borderId="1" xfId="0" quotePrefix="1" applyNumberFormat="1" applyFont="1" applyFill="1" applyBorder="1" applyAlignment="1">
      <alignment horizontal="right"/>
    </xf>
    <xf numFmtId="0" fontId="16" fillId="8" borderId="1" xfId="0" applyFont="1" applyFill="1" applyBorder="1" applyAlignment="1">
      <alignment horizontal="left" vertical="center" wrapText="1"/>
    </xf>
    <xf numFmtId="4" fontId="14" fillId="0" borderId="0" xfId="0" applyNumberFormat="1" applyFont="1"/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6" fillId="3" borderId="1" xfId="0" applyFont="1" applyFill="1" applyBorder="1" applyAlignment="1">
      <alignment vertical="center"/>
    </xf>
    <xf numFmtId="0" fontId="16" fillId="13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left" vertical="center" wrapText="1" indent="2"/>
    </xf>
    <xf numFmtId="4" fontId="14" fillId="5" borderId="1" xfId="0" applyNumberFormat="1" applyFont="1" applyFill="1" applyBorder="1" applyAlignment="1">
      <alignment horizontal="right"/>
    </xf>
    <xf numFmtId="49" fontId="16" fillId="8" borderId="1" xfId="0" applyNumberFormat="1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/>
    </xf>
    <xf numFmtId="4" fontId="14" fillId="8" borderId="1" xfId="0" applyNumberFormat="1" applyFont="1" applyFill="1" applyBorder="1"/>
    <xf numFmtId="0" fontId="16" fillId="13" borderId="1" xfId="0" applyFont="1" applyFill="1" applyBorder="1" applyAlignment="1">
      <alignment horizontal="left" vertical="top" wrapText="1"/>
    </xf>
    <xf numFmtId="0" fontId="16" fillId="8" borderId="1" xfId="0" applyFont="1" applyFill="1" applyBorder="1" applyAlignment="1">
      <alignment vertical="center" wrapText="1"/>
    </xf>
    <xf numFmtId="0" fontId="14" fillId="8" borderId="1" xfId="0" applyFont="1" applyFill="1" applyBorder="1"/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 indent="2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0" fontId="16" fillId="8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 indent="2"/>
    </xf>
    <xf numFmtId="0" fontId="16" fillId="8" borderId="22" xfId="0" applyFont="1" applyFill="1" applyBorder="1" applyAlignment="1">
      <alignment vertical="center" wrapText="1"/>
    </xf>
    <xf numFmtId="0" fontId="14" fillId="8" borderId="13" xfId="0" applyFont="1" applyFill="1" applyBorder="1"/>
    <xf numFmtId="4" fontId="14" fillId="8" borderId="13" xfId="0" applyNumberFormat="1" applyFont="1" applyFill="1" applyBorder="1"/>
    <xf numFmtId="0" fontId="14" fillId="0" borderId="1" xfId="0" applyFont="1" applyBorder="1" applyAlignment="1">
      <alignment horizontal="left" vertical="center" wrapText="1" inden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left" vertical="top" wrapText="1" indent="1"/>
    </xf>
    <xf numFmtId="0" fontId="14" fillId="0" borderId="1" xfId="0" applyFont="1" applyBorder="1" applyAlignment="1">
      <alignment horizontal="left" vertical="top" wrapText="1" indent="1"/>
    </xf>
    <xf numFmtId="0" fontId="16" fillId="3" borderId="1" xfId="0" applyFont="1" applyFill="1" applyBorder="1" applyAlignment="1">
      <alignment horizontal="right" vertical="center"/>
    </xf>
    <xf numFmtId="0" fontId="16" fillId="8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8" borderId="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9" borderId="15" xfId="0" applyFont="1" applyFill="1" applyBorder="1"/>
    <xf numFmtId="0" fontId="14" fillId="0" borderId="14" xfId="0" applyFont="1" applyBorder="1"/>
    <xf numFmtId="0" fontId="14" fillId="3" borderId="3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13" borderId="30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13" borderId="30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wrapText="1"/>
    </xf>
    <xf numFmtId="4" fontId="14" fillId="3" borderId="1" xfId="0" applyNumberFormat="1" applyFont="1" applyFill="1" applyBorder="1" applyAlignment="1">
      <alignment horizontal="right"/>
    </xf>
    <xf numFmtId="0" fontId="14" fillId="8" borderId="1" xfId="0" applyFont="1" applyFill="1" applyBorder="1" applyAlignment="1">
      <alignment horizontal="center"/>
    </xf>
    <xf numFmtId="4" fontId="14" fillId="8" borderId="1" xfId="0" applyNumberFormat="1" applyFont="1" applyFill="1" applyBorder="1" applyAlignment="1">
      <alignment horizontal="right"/>
    </xf>
    <xf numFmtId="0" fontId="14" fillId="2" borderId="10" xfId="0" applyFont="1" applyFill="1" applyBorder="1" applyAlignment="1">
      <alignment vertical="center"/>
    </xf>
    <xf numFmtId="0" fontId="14" fillId="3" borderId="1" xfId="0" quotePrefix="1" applyFont="1" applyFill="1" applyBorder="1" applyAlignment="1">
      <alignment horizontal="center"/>
    </xf>
    <xf numFmtId="4" fontId="14" fillId="3" borderId="1" xfId="0" quotePrefix="1" applyNumberFormat="1" applyFont="1" applyFill="1" applyBorder="1" applyAlignment="1">
      <alignment horizontal="right"/>
    </xf>
    <xf numFmtId="0" fontId="14" fillId="13" borderId="1" xfId="0" quotePrefix="1" applyFont="1" applyFill="1" applyBorder="1" applyAlignment="1">
      <alignment horizontal="center"/>
    </xf>
    <xf numFmtId="4" fontId="14" fillId="13" borderId="1" xfId="0" quotePrefix="1" applyNumberFormat="1" applyFont="1" applyFill="1" applyBorder="1" applyAlignment="1">
      <alignment horizontal="right"/>
    </xf>
    <xf numFmtId="0" fontId="14" fillId="13" borderId="1" xfId="0" applyFont="1" applyFill="1" applyBorder="1" applyAlignment="1">
      <alignment horizontal="center" vertical="top" wrapText="1"/>
    </xf>
    <xf numFmtId="0" fontId="14" fillId="8" borderId="1" xfId="0" quotePrefix="1" applyFont="1" applyFill="1" applyBorder="1" applyAlignment="1">
      <alignment horizontal="center"/>
    </xf>
    <xf numFmtId="4" fontId="14" fillId="8" borderId="1" xfId="0" quotePrefix="1" applyNumberFormat="1" applyFont="1" applyFill="1" applyBorder="1" applyAlignment="1">
      <alignment horizontal="right"/>
    </xf>
    <xf numFmtId="0" fontId="14" fillId="5" borderId="1" xfId="0" quotePrefix="1" applyFont="1" applyFill="1" applyBorder="1" applyAlignment="1">
      <alignment horizontal="center"/>
    </xf>
    <xf numFmtId="0" fontId="14" fillId="3" borderId="1" xfId="0" applyFont="1" applyFill="1" applyBorder="1" applyAlignment="1">
      <alignment horizontal="right" vertical="top"/>
    </xf>
    <xf numFmtId="2" fontId="14" fillId="8" borderId="1" xfId="0" applyNumberFormat="1" applyFont="1" applyFill="1" applyBorder="1" applyAlignment="1">
      <alignment horizontal="right" vertical="center" wrapText="1"/>
    </xf>
    <xf numFmtId="0" fontId="14" fillId="8" borderId="1" xfId="0" applyFont="1" applyFill="1" applyBorder="1" applyAlignment="1">
      <alignment horizontal="right" vertical="center"/>
    </xf>
    <xf numFmtId="0" fontId="14" fillId="8" borderId="12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4" fontId="14" fillId="5" borderId="1" xfId="0" quotePrefix="1" applyNumberFormat="1" applyFont="1" applyFill="1" applyBorder="1" applyAlignment="1">
      <alignment horizontal="right"/>
    </xf>
    <xf numFmtId="0" fontId="14" fillId="8" borderId="1" xfId="0" applyFont="1" applyFill="1" applyBorder="1" applyAlignment="1">
      <alignment horizontal="right" vertical="center" wrapText="1"/>
    </xf>
    <xf numFmtId="0" fontId="14" fillId="8" borderId="6" xfId="0" applyFont="1" applyFill="1" applyBorder="1" applyAlignment="1">
      <alignment horizontal="right" vertical="center" wrapText="1"/>
    </xf>
    <xf numFmtId="0" fontId="14" fillId="0" borderId="0" xfId="0" applyFont="1"/>
    <xf numFmtId="0" fontId="14" fillId="0" borderId="32" xfId="0" applyFont="1" applyBorder="1"/>
    <xf numFmtId="0" fontId="14" fillId="0" borderId="33" xfId="0" applyFont="1" applyBorder="1"/>
    <xf numFmtId="0" fontId="14" fillId="0" borderId="1" xfId="0" applyFont="1" applyBorder="1" applyAlignment="1">
      <alignment horizontal="left" vertical="center" indent="3"/>
    </xf>
    <xf numFmtId="0" fontId="14" fillId="0" borderId="2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 vertical="center" wrapText="1" indent="2"/>
    </xf>
    <xf numFmtId="0" fontId="14" fillId="0" borderId="13" xfId="0" applyFont="1" applyBorder="1" applyAlignment="1">
      <alignment horizontal="center"/>
    </xf>
    <xf numFmtId="4" fontId="14" fillId="0" borderId="13" xfId="0" applyNumberFormat="1" applyFont="1" applyBorder="1" applyAlignment="1">
      <alignment horizontal="right"/>
    </xf>
    <xf numFmtId="0" fontId="14" fillId="5" borderId="12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left" vertical="center" indent="3"/>
    </xf>
    <xf numFmtId="0" fontId="14" fillId="5" borderId="1" xfId="0" applyFont="1" applyFill="1" applyBorder="1" applyAlignment="1">
      <alignment horizontal="left" vertical="center" indent="3"/>
    </xf>
    <xf numFmtId="0" fontId="12" fillId="0" borderId="34" xfId="0" applyFont="1" applyBorder="1"/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top"/>
    </xf>
    <xf numFmtId="0" fontId="5" fillId="2" borderId="1" xfId="0" quotePrefix="1" applyFont="1" applyFill="1" applyBorder="1" applyAlignment="1">
      <alignment horizontal="center"/>
    </xf>
    <xf numFmtId="49" fontId="20" fillId="9" borderId="1" xfId="0" applyNumberFormat="1" applyFont="1" applyFill="1" applyBorder="1" applyAlignment="1">
      <alignment horizontal="center" vertical="center"/>
    </xf>
    <xf numFmtId="0" fontId="5" fillId="6" borderId="1" xfId="0" quotePrefix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left" vertical="center"/>
    </xf>
    <xf numFmtId="0" fontId="13" fillId="12" borderId="1" xfId="2" applyFont="1" applyFill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right" vertical="top"/>
    </xf>
    <xf numFmtId="0" fontId="4" fillId="6" borderId="30" xfId="0" applyFont="1" applyFill="1" applyBorder="1" applyAlignment="1">
      <alignment horizontal="right" vertical="top"/>
    </xf>
    <xf numFmtId="49" fontId="20" fillId="9" borderId="30" xfId="0" applyNumberFormat="1" applyFont="1" applyFill="1" applyBorder="1" applyAlignment="1">
      <alignment horizontal="center" vertical="center"/>
    </xf>
    <xf numFmtId="49" fontId="4" fillId="0" borderId="30" xfId="0" applyNumberFormat="1" applyFont="1" applyBorder="1" applyAlignment="1">
      <alignment horizontal="right" vertical="top"/>
    </xf>
    <xf numFmtId="49" fontId="4" fillId="0" borderId="5" xfId="0" applyNumberFormat="1" applyFont="1" applyBorder="1" applyAlignment="1">
      <alignment horizontal="right" vertical="top"/>
    </xf>
    <xf numFmtId="0" fontId="19" fillId="0" borderId="6" xfId="0" applyFont="1" applyBorder="1" applyAlignment="1">
      <alignment horizontal="right" vertical="top"/>
    </xf>
    <xf numFmtId="49" fontId="18" fillId="0" borderId="6" xfId="0" applyNumberFormat="1" applyFont="1" applyBorder="1" applyAlignment="1">
      <alignment horizontal="left" vertical="center" wrapText="1"/>
    </xf>
    <xf numFmtId="49" fontId="18" fillId="0" borderId="6" xfId="0" applyNumberFormat="1" applyFont="1" applyBorder="1" applyAlignment="1">
      <alignment horizontal="center" vertical="center"/>
    </xf>
    <xf numFmtId="0" fontId="13" fillId="12" borderId="21" xfId="2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top"/>
    </xf>
    <xf numFmtId="0" fontId="24" fillId="0" borderId="1" xfId="0" applyFont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wrapText="1"/>
    </xf>
    <xf numFmtId="0" fontId="4" fillId="0" borderId="12" xfId="0" applyFont="1" applyBorder="1"/>
    <xf numFmtId="0" fontId="4" fillId="0" borderId="10" xfId="0" applyFont="1" applyBorder="1"/>
    <xf numFmtId="4" fontId="14" fillId="8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/>
    </xf>
    <xf numFmtId="4" fontId="14" fillId="8" borderId="12" xfId="0" applyNumberFormat="1" applyFont="1" applyFill="1" applyBorder="1" applyAlignment="1">
      <alignment horizontal="center" vertical="center" wrapText="1"/>
    </xf>
    <xf numFmtId="4" fontId="14" fillId="0" borderId="24" xfId="0" applyNumberFormat="1" applyFont="1" applyBorder="1"/>
    <xf numFmtId="4" fontId="14" fillId="0" borderId="16" xfId="0" applyNumberFormat="1" applyFont="1" applyBorder="1"/>
    <xf numFmtId="4" fontId="14" fillId="0" borderId="15" xfId="0" applyNumberFormat="1" applyFont="1" applyBorder="1"/>
    <xf numFmtId="4" fontId="14" fillId="0" borderId="31" xfId="0" applyNumberFormat="1" applyFont="1" applyBorder="1"/>
    <xf numFmtId="0" fontId="16" fillId="9" borderId="15" xfId="0" applyFont="1" applyFill="1" applyBorder="1"/>
    <xf numFmtId="0" fontId="16" fillId="9" borderId="31" xfId="0" applyFont="1" applyFill="1" applyBorder="1"/>
    <xf numFmtId="4" fontId="14" fillId="0" borderId="8" xfId="0" applyNumberFormat="1" applyFont="1" applyBorder="1"/>
    <xf numFmtId="4" fontId="14" fillId="0" borderId="9" xfId="0" applyNumberFormat="1" applyFont="1" applyBorder="1"/>
    <xf numFmtId="0" fontId="14" fillId="8" borderId="12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right" vertical="center"/>
    </xf>
    <xf numFmtId="0" fontId="13" fillId="12" borderId="30" xfId="2" applyFont="1" applyFill="1" applyBorder="1" applyAlignment="1">
      <alignment horizontal="center" vertical="center" wrapText="1"/>
    </xf>
    <xf numFmtId="0" fontId="13" fillId="12" borderId="39" xfId="2" applyFont="1" applyFill="1" applyBorder="1" applyAlignment="1">
      <alignment horizontal="center" vertical="center" wrapText="1"/>
    </xf>
    <xf numFmtId="3" fontId="16" fillId="0" borderId="40" xfId="0" quotePrefix="1" applyNumberFormat="1" applyFont="1" applyBorder="1" applyAlignment="1">
      <alignment horizontal="center" vertical="center"/>
    </xf>
    <xf numFmtId="4" fontId="5" fillId="6" borderId="39" xfId="0" quotePrefix="1" applyNumberFormat="1" applyFont="1" applyFill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4" fontId="5" fillId="2" borderId="39" xfId="0" quotePrefix="1" applyNumberFormat="1" applyFont="1" applyFill="1" applyBorder="1" applyAlignment="1">
      <alignment horizontal="right"/>
    </xf>
    <xf numFmtId="2" fontId="5" fillId="0" borderId="39" xfId="0" applyNumberFormat="1" applyFont="1" applyBorder="1" applyAlignment="1">
      <alignment horizontal="right"/>
    </xf>
    <xf numFmtId="0" fontId="0" fillId="0" borderId="14" xfId="0" applyBorder="1"/>
    <xf numFmtId="2" fontId="5" fillId="0" borderId="7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0" fontId="16" fillId="9" borderId="15" xfId="0" applyFont="1" applyFill="1" applyBorder="1" applyAlignment="1">
      <alignment horizontal="center"/>
    </xf>
    <xf numFmtId="0" fontId="16" fillId="9" borderId="31" xfId="0" applyFont="1" applyFill="1" applyBorder="1" applyAlignment="1">
      <alignment horizontal="center"/>
    </xf>
    <xf numFmtId="0" fontId="10" fillId="10" borderId="17" xfId="1" applyFont="1" applyFill="1" applyBorder="1" applyAlignment="1">
      <alignment horizontal="center" vertical="top" wrapText="1"/>
    </xf>
    <xf numFmtId="0" fontId="10" fillId="11" borderId="18" xfId="1" applyFont="1" applyFill="1" applyBorder="1" applyAlignment="1">
      <alignment horizontal="center" vertical="top" wrapText="1"/>
    </xf>
    <xf numFmtId="0" fontId="16" fillId="2" borderId="2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top" wrapText="1"/>
    </xf>
    <xf numFmtId="0" fontId="10" fillId="10" borderId="35" xfId="1" applyFont="1" applyFill="1" applyBorder="1" applyAlignment="1">
      <alignment horizontal="center" vertical="top" wrapText="1"/>
    </xf>
    <xf numFmtId="0" fontId="10" fillId="10" borderId="36" xfId="1" applyFont="1" applyFill="1" applyBorder="1" applyAlignment="1">
      <alignment horizontal="center" vertical="top" wrapText="1"/>
    </xf>
    <xf numFmtId="0" fontId="10" fillId="10" borderId="37" xfId="1" applyFont="1" applyFill="1" applyBorder="1" applyAlignment="1">
      <alignment horizontal="center" vertical="top" wrapText="1"/>
    </xf>
    <xf numFmtId="0" fontId="10" fillId="11" borderId="41" xfId="1" applyFont="1" applyFill="1" applyBorder="1" applyAlignment="1">
      <alignment horizontal="center" vertical="top" wrapText="1"/>
    </xf>
    <xf numFmtId="0" fontId="10" fillId="11" borderId="23" xfId="1" applyFont="1" applyFill="1" applyBorder="1" applyAlignment="1">
      <alignment horizontal="center" vertical="top" wrapText="1"/>
    </xf>
    <xf numFmtId="0" fontId="10" fillId="11" borderId="38" xfId="1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5" fillId="0" borderId="0" xfId="0" applyFont="1"/>
    <xf numFmtId="0" fontId="26" fillId="0" borderId="0" xfId="0" applyFont="1"/>
  </cellXfs>
  <cellStyles count="5">
    <cellStyle name="Normalny" xfId="0" builtinId="0"/>
    <cellStyle name="Normalny 2" xfId="3" xr:uid="{5E78B1AF-8842-40FB-B8AD-2506B06AB30C}"/>
    <cellStyle name="Normalny 3" xfId="4" xr:uid="{732A811C-E24A-4AC3-A791-3F096E35B850}"/>
    <cellStyle name="Normalny 4" xfId="2" xr:uid="{901487EE-8E07-41DA-B1B6-2C4A4ED878C7}"/>
    <cellStyle name="Normalny_A_1 2" xfId="1" xr:uid="{C195F122-E252-4030-8D92-76ABC88D8C59}"/>
  </cellStyles>
  <dxfs count="0"/>
  <tableStyles count="0" defaultTableStyle="TableStyleMedium2" defaultPivotStyle="PivotStyleLight16"/>
  <colors>
    <mruColors>
      <color rgb="FFFEF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"/>
  <sheetViews>
    <sheetView view="pageBreakPreview" zoomScaleNormal="100" zoomScaleSheetLayoutView="100" workbookViewId="0"/>
  </sheetViews>
  <sheetFormatPr defaultRowHeight="12.75"/>
  <cols>
    <col min="1" max="1" width="4.140625" style="71" customWidth="1"/>
    <col min="2" max="2" width="17.42578125" customWidth="1"/>
    <col min="3" max="3" width="53.42578125" customWidth="1"/>
    <col min="4" max="4" width="13.140625" customWidth="1"/>
    <col min="5" max="5" width="10.5703125" style="62" customWidth="1"/>
    <col min="6" max="6" width="12.7109375" style="62" customWidth="1"/>
    <col min="7" max="7" width="15.7109375" style="62" customWidth="1"/>
    <col min="9" max="9" width="19.85546875" customWidth="1"/>
    <col min="10" max="10" width="10.7109375" bestFit="1" customWidth="1"/>
    <col min="11" max="11" width="9.28515625" bestFit="1" customWidth="1"/>
    <col min="14" max="14" width="9.7109375" bestFit="1" customWidth="1"/>
  </cols>
  <sheetData>
    <row r="1" spans="1:15" ht="21.75" customHeight="1">
      <c r="A1" s="13" t="s">
        <v>6</v>
      </c>
      <c r="B1" s="15"/>
      <c r="C1" s="14"/>
      <c r="D1" s="260" t="s">
        <v>98</v>
      </c>
      <c r="E1" s="260"/>
      <c r="F1" s="260"/>
      <c r="G1" s="261"/>
      <c r="J1" s="52" t="s">
        <v>54</v>
      </c>
      <c r="K1" s="52" t="s">
        <v>55</v>
      </c>
      <c r="L1" s="52" t="s">
        <v>39</v>
      </c>
      <c r="M1" s="52" t="s">
        <v>54</v>
      </c>
      <c r="N1" s="52" t="s">
        <v>55</v>
      </c>
    </row>
    <row r="2" spans="1:15" ht="27" customHeight="1" thickBot="1">
      <c r="A2" s="69" t="s">
        <v>0</v>
      </c>
      <c r="B2" s="40"/>
      <c r="C2" s="40" t="s">
        <v>7</v>
      </c>
      <c r="D2" s="40" t="s">
        <v>8</v>
      </c>
      <c r="E2" s="41" t="s">
        <v>9</v>
      </c>
      <c r="F2" s="41" t="s">
        <v>40</v>
      </c>
      <c r="G2" s="42" t="s">
        <v>41</v>
      </c>
      <c r="I2" t="s">
        <v>119</v>
      </c>
      <c r="J2" s="51">
        <f>33055+60970+47914+68396+45718+72451</f>
        <v>328504</v>
      </c>
      <c r="K2" s="51">
        <f>85.4+234.78+199.4+288.6+192.55+306.3</f>
        <v>1307.03</v>
      </c>
      <c r="O2" s="51">
        <f>J2/K2</f>
        <v>251.33623558755346</v>
      </c>
    </row>
    <row r="3" spans="1:15" ht="12.95" customHeight="1">
      <c r="A3" s="70" t="s">
        <v>10</v>
      </c>
      <c r="B3" s="39">
        <v>2</v>
      </c>
      <c r="C3" s="39" t="s">
        <v>11</v>
      </c>
      <c r="D3" s="39" t="s">
        <v>12</v>
      </c>
      <c r="E3" s="56" t="s">
        <v>13</v>
      </c>
      <c r="F3" s="56" t="s">
        <v>14</v>
      </c>
      <c r="G3" s="56" t="s">
        <v>15</v>
      </c>
      <c r="I3" t="s">
        <v>62</v>
      </c>
      <c r="J3" s="55">
        <v>796266</v>
      </c>
      <c r="K3" s="55">
        <v>2759.7</v>
      </c>
      <c r="N3" s="54"/>
      <c r="O3" s="55">
        <f>J3/K3</f>
        <v>288.53353625394067</v>
      </c>
    </row>
    <row r="4" spans="1:15" ht="12.95" customHeight="1">
      <c r="A4" s="7" t="s">
        <v>16</v>
      </c>
      <c r="B4" s="45"/>
      <c r="C4" s="21" t="s">
        <v>1</v>
      </c>
      <c r="D4" s="22"/>
      <c r="E4" s="57"/>
      <c r="F4" s="57"/>
      <c r="G4" s="58">
        <f>G5</f>
        <v>81200</v>
      </c>
      <c r="I4" s="53" t="s">
        <v>76</v>
      </c>
      <c r="J4" s="55">
        <f>L4/3*M4</f>
        <v>486200</v>
      </c>
      <c r="K4" s="55">
        <f>L4/3*N4</f>
        <v>3889.5999999999995</v>
      </c>
      <c r="L4">
        <f>68+7+68</f>
        <v>143</v>
      </c>
      <c r="M4" s="55">
        <v>10200</v>
      </c>
      <c r="N4" s="55">
        <v>81.599999999999994</v>
      </c>
      <c r="O4" s="55">
        <f>M4/N4</f>
        <v>125.00000000000001</v>
      </c>
    </row>
    <row r="5" spans="1:15" ht="16.5" customHeight="1">
      <c r="A5" s="1" t="s">
        <v>16</v>
      </c>
      <c r="B5" s="44"/>
      <c r="C5" s="23" t="s">
        <v>17</v>
      </c>
      <c r="D5" s="2"/>
      <c r="E5" s="3"/>
      <c r="F5" s="3"/>
      <c r="G5" s="3">
        <f>G6</f>
        <v>81200</v>
      </c>
      <c r="I5" s="53" t="s">
        <v>78</v>
      </c>
      <c r="J5" s="55">
        <f>L5/3*M5</f>
        <v>223108</v>
      </c>
      <c r="K5" s="55">
        <f>L5/3*N5</f>
        <v>1496</v>
      </c>
      <c r="L5">
        <f>35+33</f>
        <v>68</v>
      </c>
      <c r="M5" s="55">
        <v>9843</v>
      </c>
      <c r="N5" s="55">
        <v>66</v>
      </c>
      <c r="O5" s="55">
        <f>M5/N5</f>
        <v>149.13636363636363</v>
      </c>
    </row>
    <row r="6" spans="1:15" ht="12.95" customHeight="1">
      <c r="A6" s="5">
        <v>1</v>
      </c>
      <c r="B6" s="43"/>
      <c r="C6" s="12" t="s">
        <v>88</v>
      </c>
      <c r="D6" s="10" t="s">
        <v>38</v>
      </c>
      <c r="E6" s="27">
        <v>1</v>
      </c>
      <c r="F6" s="27" t="s">
        <v>18</v>
      </c>
      <c r="G6" s="27">
        <f>2320*35</f>
        <v>81200</v>
      </c>
      <c r="I6" s="53" t="s">
        <v>77</v>
      </c>
      <c r="J6" s="55">
        <f>L6/3*M6</f>
        <v>2028511.3333333335</v>
      </c>
      <c r="K6" s="55">
        <f>L6/3*N6</f>
        <v>10254.4</v>
      </c>
      <c r="L6">
        <f>(180-68)+92+45+3*29+25+16</f>
        <v>377</v>
      </c>
      <c r="M6" s="55">
        <v>16142</v>
      </c>
      <c r="N6" s="55">
        <v>81.599999999999994</v>
      </c>
      <c r="O6" s="55">
        <f>M6/N6</f>
        <v>197.81862745098042</v>
      </c>
    </row>
    <row r="7" spans="1:15" ht="12.95" customHeight="1">
      <c r="A7" s="7" t="s">
        <v>16</v>
      </c>
      <c r="B7" s="45"/>
      <c r="C7" s="21" t="s">
        <v>2</v>
      </c>
      <c r="D7" s="24"/>
      <c r="E7" s="58"/>
      <c r="F7" s="58"/>
      <c r="G7" s="58">
        <f>G8+G11+G14+G17</f>
        <v>2726565</v>
      </c>
      <c r="I7" t="s">
        <v>63</v>
      </c>
      <c r="J7" s="51">
        <f>13228.1+9048.7</f>
        <v>22276.800000000003</v>
      </c>
      <c r="K7" s="51">
        <f>43.5+25</f>
        <v>68.5</v>
      </c>
      <c r="O7" s="55">
        <f t="shared" ref="O7:O12" si="0">J7/K7</f>
        <v>325.20875912408763</v>
      </c>
    </row>
    <row r="8" spans="1:15" ht="12.95" customHeight="1">
      <c r="A8" s="1" t="s">
        <v>16</v>
      </c>
      <c r="B8" s="44"/>
      <c r="C8" s="25" t="s">
        <v>57</v>
      </c>
      <c r="D8" s="26"/>
      <c r="E8" s="4"/>
      <c r="F8" s="4"/>
      <c r="G8" s="4">
        <f>SUM(G9:G10)</f>
        <v>1385650</v>
      </c>
      <c r="I8" t="s">
        <v>64</v>
      </c>
      <c r="J8" s="51">
        <f>16682+10183.7</f>
        <v>26865.7</v>
      </c>
      <c r="K8" s="51">
        <f>56.85+28</f>
        <v>84.85</v>
      </c>
      <c r="O8" s="55">
        <f t="shared" si="0"/>
        <v>316.62581025338835</v>
      </c>
    </row>
    <row r="9" spans="1:15" ht="12.95" customHeight="1">
      <c r="A9" s="5">
        <v>2</v>
      </c>
      <c r="B9" s="43"/>
      <c r="C9" s="12" t="s">
        <v>44</v>
      </c>
      <c r="D9" s="10" t="s">
        <v>19</v>
      </c>
      <c r="E9" s="27">
        <f>1080*14.8</f>
        <v>15984</v>
      </c>
      <c r="F9" s="27">
        <v>50</v>
      </c>
      <c r="G9" s="27">
        <f>E9*F9</f>
        <v>799200</v>
      </c>
      <c r="I9" t="s">
        <v>65</v>
      </c>
      <c r="J9" s="51">
        <f>9532.5+10343.3</f>
        <v>19875.8</v>
      </c>
      <c r="K9" s="51">
        <f>35.1+28</f>
        <v>63.1</v>
      </c>
      <c r="O9" s="55">
        <f t="shared" si="0"/>
        <v>314.98890649762279</v>
      </c>
    </row>
    <row r="10" spans="1:15" ht="21.75" customHeight="1">
      <c r="A10" s="5">
        <v>3</v>
      </c>
      <c r="B10" s="43"/>
      <c r="C10" s="12" t="s">
        <v>90</v>
      </c>
      <c r="D10" s="10" t="s">
        <v>19</v>
      </c>
      <c r="E10" s="27">
        <f>500*14.8</f>
        <v>7400</v>
      </c>
      <c r="F10" s="27">
        <v>79.25</v>
      </c>
      <c r="G10" s="27">
        <f>E10*F10</f>
        <v>586450</v>
      </c>
      <c r="I10" t="s">
        <v>66</v>
      </c>
      <c r="J10" s="51">
        <f>16644+10186.1</f>
        <v>26830.1</v>
      </c>
      <c r="K10" s="51">
        <f>56.85+28</f>
        <v>84.85</v>
      </c>
      <c r="O10" s="55">
        <f t="shared" si="0"/>
        <v>316.20624631703004</v>
      </c>
    </row>
    <row r="11" spans="1:15" ht="12.95" customHeight="1">
      <c r="A11" s="1" t="s">
        <v>16</v>
      </c>
      <c r="B11" s="44"/>
      <c r="C11" s="28" t="s">
        <v>45</v>
      </c>
      <c r="D11" s="26"/>
      <c r="E11" s="4"/>
      <c r="F11" s="4"/>
      <c r="G11" s="4">
        <f>SUM(G12:G13)</f>
        <v>1010938.2</v>
      </c>
      <c r="I11" t="s">
        <v>79</v>
      </c>
      <c r="J11" s="51">
        <v>22768.3</v>
      </c>
      <c r="K11" s="51">
        <v>71.900000000000006</v>
      </c>
      <c r="O11" s="55">
        <f t="shared" si="0"/>
        <v>316.66620305980524</v>
      </c>
    </row>
    <row r="12" spans="1:15" ht="24.95" customHeight="1">
      <c r="A12" s="29">
        <v>4</v>
      </c>
      <c r="B12" s="46"/>
      <c r="C12" s="19" t="s">
        <v>99</v>
      </c>
      <c r="D12" s="20" t="s">
        <v>29</v>
      </c>
      <c r="E12" s="59">
        <f>39*16</f>
        <v>624</v>
      </c>
      <c r="F12" s="27">
        <v>1377.3</v>
      </c>
      <c r="G12" s="59">
        <f>E12*F12</f>
        <v>859435.2</v>
      </c>
      <c r="I12" t="s">
        <v>67</v>
      </c>
      <c r="J12" s="51">
        <f>4*4968+2*2630</f>
        <v>25132</v>
      </c>
      <c r="K12" s="51">
        <f>4*38.4+2*22.1</f>
        <v>197.8</v>
      </c>
      <c r="O12" s="55">
        <f t="shared" si="0"/>
        <v>127.05763397371081</v>
      </c>
    </row>
    <row r="13" spans="1:15" ht="24.95" customHeight="1">
      <c r="A13" s="29">
        <v>5</v>
      </c>
      <c r="B13" s="46"/>
      <c r="C13" s="19" t="s">
        <v>100</v>
      </c>
      <c r="D13" s="20" t="s">
        <v>29</v>
      </c>
      <c r="E13" s="59">
        <f>11*10</f>
        <v>110</v>
      </c>
      <c r="F13" s="27">
        <v>1377.3</v>
      </c>
      <c r="G13" s="59">
        <f>E13*F13</f>
        <v>151503</v>
      </c>
      <c r="J13" s="51"/>
      <c r="K13" s="51"/>
      <c r="O13" s="55"/>
    </row>
    <row r="14" spans="1:15" ht="12.95" customHeight="1">
      <c r="A14" s="1" t="s">
        <v>16</v>
      </c>
      <c r="B14" s="44"/>
      <c r="C14" s="28" t="s">
        <v>74</v>
      </c>
      <c r="D14" s="26"/>
      <c r="E14" s="4"/>
      <c r="F14" s="4"/>
      <c r="G14" s="4">
        <f>SUM(G15:G16)</f>
        <v>91976.8</v>
      </c>
      <c r="I14" t="s">
        <v>68</v>
      </c>
      <c r="J14" s="51">
        <v>22443</v>
      </c>
      <c r="K14" s="51">
        <v>99.4</v>
      </c>
      <c r="O14" s="55">
        <f>J14/K14</f>
        <v>225.78470824949696</v>
      </c>
    </row>
    <row r="15" spans="1:15" ht="24.95" customHeight="1">
      <c r="A15" s="29">
        <v>6</v>
      </c>
      <c r="B15" s="46"/>
      <c r="C15" s="19" t="s">
        <v>71</v>
      </c>
      <c r="D15" s="10" t="s">
        <v>19</v>
      </c>
      <c r="E15" s="59">
        <f>2010*2+30*3*4+78*3*2</f>
        <v>4848</v>
      </c>
      <c r="F15" s="27">
        <v>17</v>
      </c>
      <c r="G15" s="59">
        <f t="shared" ref="G15:G16" si="1">E15*F15</f>
        <v>82416</v>
      </c>
      <c r="I15" t="s">
        <v>69</v>
      </c>
      <c r="J15" s="51">
        <v>743</v>
      </c>
      <c r="K15" s="51">
        <v>4.8</v>
      </c>
      <c r="O15" s="55">
        <f>J15/K15</f>
        <v>154.79166666666669</v>
      </c>
    </row>
    <row r="16" spans="1:15" ht="24.95" customHeight="1">
      <c r="A16" s="29">
        <v>7</v>
      </c>
      <c r="B16" s="46"/>
      <c r="C16" s="19" t="s">
        <v>72</v>
      </c>
      <c r="D16" s="10" t="s">
        <v>19</v>
      </c>
      <c r="E16" s="59">
        <f>38*18.5*0.8</f>
        <v>562.4</v>
      </c>
      <c r="F16" s="27">
        <v>17</v>
      </c>
      <c r="G16" s="59">
        <f t="shared" si="1"/>
        <v>9560.7999999999993</v>
      </c>
      <c r="I16" t="s">
        <v>70</v>
      </c>
      <c r="J16" s="51">
        <v>3530</v>
      </c>
      <c r="K16" s="51">
        <v>34</v>
      </c>
      <c r="O16" s="55">
        <f>J16/K16</f>
        <v>103.82352941176471</v>
      </c>
    </row>
    <row r="17" spans="1:11" ht="12.95" customHeight="1">
      <c r="A17" s="1" t="s">
        <v>16</v>
      </c>
      <c r="B17" s="44"/>
      <c r="C17" s="28" t="s">
        <v>75</v>
      </c>
      <c r="D17" s="26"/>
      <c r="E17" s="4"/>
      <c r="F17" s="4"/>
      <c r="G17" s="4">
        <f>SUM(G18)</f>
        <v>238000</v>
      </c>
      <c r="J17" s="51"/>
      <c r="K17" s="51"/>
    </row>
    <row r="18" spans="1:11" ht="24.95" customHeight="1">
      <c r="A18" s="29">
        <v>8</v>
      </c>
      <c r="B18" s="46"/>
      <c r="C18" s="19" t="s">
        <v>73</v>
      </c>
      <c r="D18" s="20" t="s">
        <v>19</v>
      </c>
      <c r="E18" s="59">
        <f>1*0.5*20*35*2</f>
        <v>700</v>
      </c>
      <c r="F18" s="27">
        <v>340</v>
      </c>
      <c r="G18" s="59">
        <f>E18*F18</f>
        <v>238000</v>
      </c>
    </row>
    <row r="19" spans="1:11" ht="12.95" customHeight="1">
      <c r="A19" s="7" t="s">
        <v>16</v>
      </c>
      <c r="B19" s="45"/>
      <c r="C19" s="21" t="s">
        <v>3</v>
      </c>
      <c r="D19" s="30"/>
      <c r="E19" s="60"/>
      <c r="F19" s="60"/>
      <c r="G19" s="58">
        <f>G20</f>
        <v>13343105.033747859</v>
      </c>
    </row>
    <row r="20" spans="1:11" ht="12.95" customHeight="1">
      <c r="A20" s="1" t="s">
        <v>16</v>
      </c>
      <c r="B20" s="44"/>
      <c r="C20" s="28" t="s">
        <v>21</v>
      </c>
      <c r="D20" s="26"/>
      <c r="E20" s="4"/>
      <c r="F20" s="4"/>
      <c r="G20" s="4">
        <f>G21</f>
        <v>13343105.033747859</v>
      </c>
    </row>
    <row r="21" spans="1:11" ht="12.95" customHeight="1">
      <c r="A21" s="5">
        <v>9</v>
      </c>
      <c r="B21" s="43"/>
      <c r="C21" s="31" t="s">
        <v>80</v>
      </c>
      <c r="D21" s="10" t="s">
        <v>22</v>
      </c>
      <c r="E21" s="27">
        <f>E25*O2+E27*O3+E29*O6+E31*O12+E33*O14</f>
        <v>1906157.8619639799</v>
      </c>
      <c r="F21" s="27">
        <v>7</v>
      </c>
      <c r="G21" s="27">
        <f>E21*F21</f>
        <v>13343105.033747859</v>
      </c>
    </row>
    <row r="22" spans="1:11" ht="12.95" customHeight="1">
      <c r="A22" s="7" t="s">
        <v>16</v>
      </c>
      <c r="B22" s="45"/>
      <c r="C22" s="21" t="s">
        <v>4</v>
      </c>
      <c r="D22" s="24"/>
      <c r="E22" s="58"/>
      <c r="F22" s="58"/>
      <c r="G22" s="58">
        <f>G23+G34</f>
        <v>7399185.9199999999</v>
      </c>
    </row>
    <row r="23" spans="1:11" ht="12.95" customHeight="1">
      <c r="A23" s="1" t="s">
        <v>16</v>
      </c>
      <c r="B23" s="44"/>
      <c r="C23" s="28" t="s">
        <v>24</v>
      </c>
      <c r="D23" s="26"/>
      <c r="E23" s="4"/>
      <c r="F23" s="4"/>
      <c r="G23" s="4">
        <f>SUM(G25:G33)</f>
        <v>7181990</v>
      </c>
    </row>
    <row r="24" spans="1:11" ht="12.95" customHeight="1">
      <c r="A24" s="5">
        <v>10</v>
      </c>
      <c r="B24" s="43"/>
      <c r="C24" s="9" t="s">
        <v>82</v>
      </c>
      <c r="D24" s="32"/>
      <c r="E24" s="61"/>
      <c r="F24" s="61"/>
    </row>
    <row r="25" spans="1:11" ht="12.95" customHeight="1">
      <c r="A25" s="5"/>
      <c r="B25" s="43"/>
      <c r="C25" s="9" t="s">
        <v>83</v>
      </c>
      <c r="D25" s="10" t="s">
        <v>19</v>
      </c>
      <c r="E25" s="27">
        <f>15*38</f>
        <v>570</v>
      </c>
      <c r="F25" s="27">
        <v>850</v>
      </c>
      <c r="G25" s="27">
        <f>E25*F25</f>
        <v>484500</v>
      </c>
    </row>
    <row r="26" spans="1:11" ht="12.95" customHeight="1">
      <c r="A26" s="5">
        <v>11</v>
      </c>
      <c r="B26" s="43"/>
      <c r="C26" s="9" t="s">
        <v>84</v>
      </c>
      <c r="D26" s="32"/>
      <c r="E26" s="61"/>
      <c r="F26" s="61"/>
    </row>
    <row r="27" spans="1:11" ht="12.95" customHeight="1">
      <c r="A27" s="5"/>
      <c r="B27" s="43"/>
      <c r="C27" s="9" t="s">
        <v>83</v>
      </c>
      <c r="D27" s="10" t="s">
        <v>19</v>
      </c>
      <c r="E27" s="27">
        <f>150*14.8</f>
        <v>2220</v>
      </c>
      <c r="F27" s="27">
        <v>850</v>
      </c>
      <c r="G27" s="27">
        <f>E27*F27</f>
        <v>1887000</v>
      </c>
    </row>
    <row r="28" spans="1:11" ht="12.95" customHeight="1">
      <c r="A28" s="5">
        <v>12</v>
      </c>
      <c r="B28" s="43"/>
      <c r="C28" s="9" t="s">
        <v>85</v>
      </c>
      <c r="D28" s="10"/>
      <c r="E28" s="27"/>
      <c r="F28" s="27"/>
      <c r="G28" s="27"/>
    </row>
    <row r="29" spans="1:11" ht="12.95" customHeight="1">
      <c r="A29" s="5"/>
      <c r="B29" s="43"/>
      <c r="C29" s="9" t="s">
        <v>81</v>
      </c>
      <c r="D29" s="10" t="s">
        <v>19</v>
      </c>
      <c r="E29" s="27">
        <f>E15+E16</f>
        <v>5410.4</v>
      </c>
      <c r="F29" s="27">
        <v>850</v>
      </c>
      <c r="G29" s="27">
        <f>F29*E29</f>
        <v>4598840</v>
      </c>
    </row>
    <row r="30" spans="1:11" ht="12.95" customHeight="1">
      <c r="A30" s="5">
        <v>13</v>
      </c>
      <c r="B30" s="43"/>
      <c r="C30" s="9" t="s">
        <v>86</v>
      </c>
      <c r="D30" s="10"/>
      <c r="E30" s="27"/>
      <c r="F30" s="27"/>
      <c r="G30" s="27"/>
    </row>
    <row r="31" spans="1:11" ht="12.95" customHeight="1">
      <c r="A31" s="5"/>
      <c r="B31" s="43"/>
      <c r="C31" s="9" t="s">
        <v>81</v>
      </c>
      <c r="D31" s="10" t="s">
        <v>19</v>
      </c>
      <c r="E31" s="27">
        <f>1.4*15*2</f>
        <v>42</v>
      </c>
      <c r="F31" s="27">
        <v>850</v>
      </c>
      <c r="G31" s="27">
        <f>E31*F31</f>
        <v>35700</v>
      </c>
    </row>
    <row r="32" spans="1:11" ht="12" customHeight="1">
      <c r="A32" s="5">
        <v>14</v>
      </c>
      <c r="B32" s="43"/>
      <c r="C32" s="9" t="s">
        <v>87</v>
      </c>
      <c r="D32" s="10"/>
      <c r="E32" s="27"/>
      <c r="F32" s="27"/>
      <c r="G32" s="27"/>
    </row>
    <row r="33" spans="1:7" ht="12.95" customHeight="1">
      <c r="A33" s="5"/>
      <c r="B33" s="43"/>
      <c r="C33" s="9" t="s">
        <v>81</v>
      </c>
      <c r="D33" s="10" t="s">
        <v>19</v>
      </c>
      <c r="E33" s="27">
        <f>0.75*2*(30+30+78)</f>
        <v>207</v>
      </c>
      <c r="F33" s="27">
        <v>850</v>
      </c>
      <c r="G33" s="27">
        <f>E33*F33</f>
        <v>175950</v>
      </c>
    </row>
    <row r="34" spans="1:7" ht="12.95" customHeight="1">
      <c r="A34" s="1" t="s">
        <v>16</v>
      </c>
      <c r="B34" s="44"/>
      <c r="C34" s="28" t="s">
        <v>25</v>
      </c>
      <c r="D34" s="26"/>
      <c r="E34" s="4"/>
      <c r="F34" s="4"/>
      <c r="G34" s="4">
        <f>G36</f>
        <v>217195.92</v>
      </c>
    </row>
    <row r="35" spans="1:7" ht="12.95" customHeight="1">
      <c r="A35" s="5">
        <v>15</v>
      </c>
      <c r="B35" s="43"/>
      <c r="C35" s="31" t="s">
        <v>46</v>
      </c>
      <c r="D35" s="10"/>
      <c r="E35" s="27"/>
      <c r="F35" s="27"/>
      <c r="G35" s="27"/>
    </row>
    <row r="36" spans="1:7" ht="12.95" customHeight="1">
      <c r="A36" s="5"/>
      <c r="B36" s="43"/>
      <c r="C36" s="31" t="s">
        <v>26</v>
      </c>
      <c r="D36" s="10" t="s">
        <v>19</v>
      </c>
      <c r="E36" s="27">
        <f>(2.62+1.35)*(30+30+78)+0.3*4*15*2</f>
        <v>583.86</v>
      </c>
      <c r="F36" s="27">
        <v>372</v>
      </c>
      <c r="G36" s="27">
        <f>E36*F36</f>
        <v>217195.92</v>
      </c>
    </row>
    <row r="37" spans="1:7" ht="12.95" customHeight="1">
      <c r="A37" s="7" t="s">
        <v>16</v>
      </c>
      <c r="B37" s="45"/>
      <c r="C37" s="21" t="s">
        <v>47</v>
      </c>
      <c r="D37" s="24"/>
      <c r="E37" s="58"/>
      <c r="F37" s="58"/>
      <c r="G37" s="58">
        <f>G38</f>
        <v>63480</v>
      </c>
    </row>
    <row r="38" spans="1:7" ht="12.95" customHeight="1">
      <c r="A38" s="1" t="s">
        <v>16</v>
      </c>
      <c r="B38" s="44"/>
      <c r="C38" s="28" t="s">
        <v>48</v>
      </c>
      <c r="D38" s="26"/>
      <c r="E38" s="4"/>
      <c r="F38" s="4"/>
      <c r="G38" s="4">
        <f>G39</f>
        <v>63480</v>
      </c>
    </row>
    <row r="39" spans="1:7" ht="12.95" customHeight="1">
      <c r="A39" s="5">
        <v>16</v>
      </c>
      <c r="B39" s="43"/>
      <c r="C39" s="31" t="s">
        <v>49</v>
      </c>
      <c r="D39" s="10" t="s">
        <v>30</v>
      </c>
      <c r="E39" s="27">
        <f>(30+30+78)*2</f>
        <v>276</v>
      </c>
      <c r="F39" s="27">
        <v>230</v>
      </c>
      <c r="G39" s="27">
        <f>E39*F39</f>
        <v>63480</v>
      </c>
    </row>
    <row r="40" spans="1:7" ht="12.95" customHeight="1">
      <c r="A40" s="7" t="s">
        <v>16</v>
      </c>
      <c r="B40" s="45"/>
      <c r="C40" s="21" t="s">
        <v>27</v>
      </c>
      <c r="D40" s="24"/>
      <c r="E40" s="58"/>
      <c r="F40" s="58"/>
      <c r="G40" s="58">
        <f>G41</f>
        <v>60902.399999999994</v>
      </c>
    </row>
    <row r="41" spans="1:7" ht="12.95" customHeight="1">
      <c r="A41" s="1" t="s">
        <v>16</v>
      </c>
      <c r="B41" s="44"/>
      <c r="C41" s="28" t="s">
        <v>28</v>
      </c>
      <c r="D41" s="26"/>
      <c r="E41" s="4"/>
      <c r="F41" s="4"/>
      <c r="G41" s="4">
        <f>G43</f>
        <v>60902.399999999994</v>
      </c>
    </row>
    <row r="42" spans="1:7" ht="24.95" customHeight="1">
      <c r="A42" s="5">
        <v>17</v>
      </c>
      <c r="B42" s="43"/>
      <c r="C42" s="9" t="s">
        <v>50</v>
      </c>
      <c r="D42" s="32"/>
      <c r="E42" s="61"/>
      <c r="F42" s="61"/>
      <c r="G42" s="61"/>
    </row>
    <row r="43" spans="1:7" ht="12.95" customHeight="1">
      <c r="A43" s="5"/>
      <c r="B43" s="43"/>
      <c r="C43" s="9" t="s">
        <v>91</v>
      </c>
      <c r="D43" s="10" t="s">
        <v>29</v>
      </c>
      <c r="E43" s="27">
        <v>640</v>
      </c>
      <c r="F43" s="27">
        <f>31.72*3</f>
        <v>95.16</v>
      </c>
      <c r="G43" s="27">
        <f>E43*F43</f>
        <v>60902.399999999994</v>
      </c>
    </row>
    <row r="44" spans="1:7" ht="12.95" customHeight="1">
      <c r="A44" s="33" t="s">
        <v>16</v>
      </c>
      <c r="B44" s="47"/>
      <c r="C44" s="34" t="s">
        <v>5</v>
      </c>
      <c r="D44" s="35"/>
      <c r="E44" s="65"/>
      <c r="F44" s="65"/>
      <c r="G44" s="65">
        <f>G45</f>
        <v>940496.17550000001</v>
      </c>
    </row>
    <row r="45" spans="1:7" ht="24.75" customHeight="1">
      <c r="A45" s="16" t="s">
        <v>16</v>
      </c>
      <c r="B45" s="49"/>
      <c r="C45" s="17" t="s">
        <v>31</v>
      </c>
      <c r="D45" s="38"/>
      <c r="E45" s="66"/>
      <c r="F45" s="66"/>
      <c r="G45" s="66">
        <f>SUM(G46:G48)</f>
        <v>940496.17550000001</v>
      </c>
    </row>
    <row r="46" spans="1:7" ht="22.5">
      <c r="A46" s="29">
        <v>18</v>
      </c>
      <c r="B46" s="46"/>
      <c r="C46" s="36" t="s">
        <v>89</v>
      </c>
      <c r="D46" s="20" t="s">
        <v>29</v>
      </c>
      <c r="E46" s="59">
        <v>1223</v>
      </c>
      <c r="F46" s="59">
        <v>700</v>
      </c>
      <c r="G46" s="59">
        <f>E46*F46</f>
        <v>856100</v>
      </c>
    </row>
    <row r="47" spans="1:7" ht="12.95" customHeight="1">
      <c r="A47" s="29">
        <v>19</v>
      </c>
      <c r="B47" s="46"/>
      <c r="C47" s="36" t="s">
        <v>60</v>
      </c>
      <c r="D47" s="20" t="s">
        <v>30</v>
      </c>
      <c r="E47" s="59">
        <f>55*2</f>
        <v>110</v>
      </c>
      <c r="F47" s="59">
        <v>740</v>
      </c>
      <c r="G47" s="59">
        <f>E47*F47</f>
        <v>81400</v>
      </c>
    </row>
    <row r="48" spans="1:7" ht="12.95" customHeight="1">
      <c r="A48" s="29">
        <v>20</v>
      </c>
      <c r="B48" s="46"/>
      <c r="C48" s="36" t="s">
        <v>43</v>
      </c>
      <c r="D48" s="20" t="s">
        <v>117</v>
      </c>
      <c r="E48" s="59">
        <f>TRUNC(E47/1.5*2)</f>
        <v>146</v>
      </c>
      <c r="F48" s="59">
        <f>(2.853+1.9195)*4.3</f>
        <v>20.521749999999997</v>
      </c>
      <c r="G48" s="59">
        <f>E48*F48</f>
        <v>2996.1754999999994</v>
      </c>
    </row>
    <row r="49" spans="1:9" ht="12.95" customHeight="1">
      <c r="A49" s="7" t="s">
        <v>16</v>
      </c>
      <c r="B49" s="45"/>
      <c r="C49" s="37" t="s">
        <v>53</v>
      </c>
      <c r="D49" s="24"/>
      <c r="E49" s="58"/>
      <c r="F49" s="58"/>
      <c r="G49" s="58">
        <f>G50+G52+G59+G62+G63+G64+G54+G56</f>
        <v>3292143.21</v>
      </c>
    </row>
    <row r="50" spans="1:9" ht="12.95" customHeight="1">
      <c r="A50" s="16" t="s">
        <v>16</v>
      </c>
      <c r="B50" s="48"/>
      <c r="C50" s="17" t="s">
        <v>32</v>
      </c>
      <c r="D50" s="18"/>
      <c r="E50" s="63"/>
      <c r="F50" s="63"/>
      <c r="G50" s="63">
        <f>G51</f>
        <v>48000</v>
      </c>
    </row>
    <row r="51" spans="1:9" ht="12.95" customHeight="1">
      <c r="A51" s="5">
        <v>21</v>
      </c>
      <c r="B51" s="43"/>
      <c r="C51" s="9" t="s">
        <v>37</v>
      </c>
      <c r="D51" s="10" t="s">
        <v>29</v>
      </c>
      <c r="E51" s="27">
        <v>640</v>
      </c>
      <c r="F51" s="27">
        <v>75</v>
      </c>
      <c r="G51" s="27">
        <f>E51*F51</f>
        <v>48000</v>
      </c>
    </row>
    <row r="52" spans="1:9" s="8" customFormat="1" ht="12.95" customHeight="1">
      <c r="A52" s="16" t="s">
        <v>16</v>
      </c>
      <c r="B52" s="48"/>
      <c r="C52" s="17" t="s">
        <v>92</v>
      </c>
      <c r="D52" s="18"/>
      <c r="E52" s="63"/>
      <c r="F52" s="63"/>
      <c r="G52" s="63">
        <f>G53</f>
        <v>43056</v>
      </c>
    </row>
    <row r="53" spans="1:9" s="8" customFormat="1" ht="12.95" customHeight="1">
      <c r="A53" s="29">
        <v>22</v>
      </c>
      <c r="B53" s="46"/>
      <c r="C53" s="36" t="s">
        <v>93</v>
      </c>
      <c r="D53" s="20" t="s">
        <v>30</v>
      </c>
      <c r="E53" s="59">
        <f>(30+30+78)*4*1.2</f>
        <v>662.4</v>
      </c>
      <c r="F53" s="59">
        <v>65</v>
      </c>
      <c r="G53" s="59">
        <f>E53*F53</f>
        <v>43056</v>
      </c>
    </row>
    <row r="54" spans="1:9" s="8" customFormat="1" ht="12.95" customHeight="1">
      <c r="A54" s="16"/>
      <c r="B54" s="48"/>
      <c r="C54" s="17" t="s">
        <v>59</v>
      </c>
      <c r="D54" s="18"/>
      <c r="E54" s="63"/>
      <c r="F54" s="63"/>
      <c r="G54" s="63">
        <f>G55</f>
        <v>50947.210000000006</v>
      </c>
    </row>
    <row r="55" spans="1:9" s="8" customFormat="1" ht="12.95" customHeight="1">
      <c r="A55" s="5">
        <v>23</v>
      </c>
      <c r="B55" s="43"/>
      <c r="C55" s="9" t="s">
        <v>118</v>
      </c>
      <c r="D55" s="10" t="s">
        <v>39</v>
      </c>
      <c r="E55" s="27">
        <f>131</f>
        <v>131</v>
      </c>
      <c r="F55" s="27">
        <f>363.91+25</f>
        <v>388.91</v>
      </c>
      <c r="G55" s="27">
        <f>E55*F55</f>
        <v>50947.210000000006</v>
      </c>
    </row>
    <row r="56" spans="1:9" s="8" customFormat="1" ht="12.95" customHeight="1">
      <c r="A56" s="16"/>
      <c r="B56" s="48"/>
      <c r="C56" s="17" t="s">
        <v>95</v>
      </c>
      <c r="D56" s="18"/>
      <c r="E56" s="63"/>
      <c r="F56" s="63"/>
      <c r="G56" s="63">
        <f>G57+G58</f>
        <v>118480</v>
      </c>
    </row>
    <row r="57" spans="1:9" ht="12.95" customHeight="1">
      <c r="A57" s="5">
        <v>24</v>
      </c>
      <c r="B57" s="43"/>
      <c r="C57" s="9" t="s">
        <v>96</v>
      </c>
      <c r="D57" s="10" t="s">
        <v>39</v>
      </c>
      <c r="E57" s="27">
        <f>38*3</f>
        <v>114</v>
      </c>
      <c r="F57" s="27">
        <v>120</v>
      </c>
      <c r="G57" s="27">
        <f t="shared" ref="G57:G58" si="2">E57*F57</f>
        <v>13680</v>
      </c>
    </row>
    <row r="58" spans="1:9" ht="12.95" customHeight="1">
      <c r="A58" s="5">
        <v>25</v>
      </c>
      <c r="B58" s="43"/>
      <c r="C58" s="9" t="s">
        <v>97</v>
      </c>
      <c r="D58" s="10" t="s">
        <v>39</v>
      </c>
      <c r="E58" s="27">
        <f>131*4</f>
        <v>524</v>
      </c>
      <c r="F58" s="27">
        <v>200</v>
      </c>
      <c r="G58" s="27">
        <f t="shared" si="2"/>
        <v>104800</v>
      </c>
    </row>
    <row r="59" spans="1:9" ht="15.75" customHeight="1">
      <c r="A59" s="16" t="s">
        <v>16</v>
      </c>
      <c r="B59" s="48"/>
      <c r="C59" s="17" t="s">
        <v>52</v>
      </c>
      <c r="D59" s="18"/>
      <c r="E59" s="63"/>
      <c r="F59" s="63"/>
      <c r="G59" s="63">
        <f>SUM(G60:G61)</f>
        <v>5660</v>
      </c>
    </row>
    <row r="60" spans="1:9">
      <c r="A60" s="5">
        <v>26</v>
      </c>
      <c r="B60" s="43"/>
      <c r="C60" s="9" t="s">
        <v>33</v>
      </c>
      <c r="D60" s="10" t="s">
        <v>117</v>
      </c>
      <c r="E60" s="27">
        <v>24</v>
      </c>
      <c r="F60" s="27">
        <v>190</v>
      </c>
      <c r="G60" s="27">
        <f t="shared" ref="G60:G64" si="3">E60*F60</f>
        <v>4560</v>
      </c>
    </row>
    <row r="61" spans="1:9" ht="14.25" customHeight="1">
      <c r="A61" s="29">
        <v>27</v>
      </c>
      <c r="B61" s="46"/>
      <c r="C61" s="11" t="s">
        <v>34</v>
      </c>
      <c r="D61" s="68" t="s">
        <v>117</v>
      </c>
      <c r="E61" s="64">
        <v>2</v>
      </c>
      <c r="F61" s="27">
        <v>550</v>
      </c>
      <c r="G61" s="27">
        <f t="shared" si="3"/>
        <v>1100</v>
      </c>
    </row>
    <row r="62" spans="1:9">
      <c r="A62" s="16">
        <v>28</v>
      </c>
      <c r="B62" s="48"/>
      <c r="C62" s="17" t="s">
        <v>58</v>
      </c>
      <c r="D62" s="18" t="s">
        <v>56</v>
      </c>
      <c r="E62" s="63">
        <v>6</v>
      </c>
      <c r="F62" s="63">
        <v>1000</v>
      </c>
      <c r="G62" s="63">
        <f t="shared" si="3"/>
        <v>6000</v>
      </c>
      <c r="I62" s="50"/>
    </row>
    <row r="63" spans="1:9" ht="22.5">
      <c r="A63" s="48">
        <v>29</v>
      </c>
      <c r="B63" s="48"/>
      <c r="C63" s="17" t="s">
        <v>42</v>
      </c>
      <c r="D63" s="18" t="s">
        <v>23</v>
      </c>
      <c r="E63" s="66">
        <v>1</v>
      </c>
      <c r="F63" s="63">
        <v>3000000</v>
      </c>
      <c r="G63" s="63">
        <f t="shared" si="3"/>
        <v>3000000</v>
      </c>
    </row>
    <row r="64" spans="1:9">
      <c r="A64" s="16">
        <v>30</v>
      </c>
      <c r="B64" s="48"/>
      <c r="C64" s="17" t="s">
        <v>61</v>
      </c>
      <c r="D64" s="18" t="s">
        <v>23</v>
      </c>
      <c r="E64" s="66">
        <v>1</v>
      </c>
      <c r="F64" s="63">
        <v>20000</v>
      </c>
      <c r="G64" s="63">
        <f t="shared" si="3"/>
        <v>20000</v>
      </c>
    </row>
    <row r="65" spans="1:7" ht="15">
      <c r="F65" s="67" t="s">
        <v>35</v>
      </c>
      <c r="G65" s="67">
        <f>G4+G7+G19+G22+G37+G40+G44+G49</f>
        <v>27907077.739247862</v>
      </c>
    </row>
    <row r="66" spans="1:7">
      <c r="A66" s="6" t="s">
        <v>36</v>
      </c>
    </row>
  </sheetData>
  <mergeCells count="1">
    <mergeCell ref="D1:G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8" fitToWidth="0" orientation="portrait" r:id="rId1"/>
  <headerFooter alignWithMargins="0"/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320FA-08F8-4AC5-8024-8124C099C155}">
  <dimension ref="A1:F160"/>
  <sheetViews>
    <sheetView view="pageLayout" topLeftCell="A22" zoomScaleNormal="115" zoomScaleSheetLayoutView="115" workbookViewId="0">
      <selection activeCell="H14" sqref="H14"/>
    </sheetView>
  </sheetViews>
  <sheetFormatPr defaultColWidth="9.140625" defaultRowHeight="12.75"/>
  <cols>
    <col min="1" max="1" width="4.140625" style="84" customWidth="1"/>
    <col min="2" max="2" width="16.42578125" style="84" customWidth="1"/>
    <col min="3" max="3" width="16.140625" style="97" hidden="1" customWidth="1"/>
    <col min="4" max="4" width="74.85546875" style="83" customWidth="1"/>
    <col min="5" max="5" width="8.28515625" style="83" customWidth="1"/>
    <col min="6" max="6" width="12.7109375" style="85" customWidth="1"/>
    <col min="7" max="7" width="14.140625" style="83" customWidth="1"/>
    <col min="8" max="8" width="7" style="83" customWidth="1"/>
    <col min="9" max="9" width="9.5703125" style="83" customWidth="1"/>
    <col min="10" max="10" width="20.28515625" style="83" customWidth="1"/>
    <col min="11" max="16384" width="9.140625" style="83"/>
  </cols>
  <sheetData>
    <row r="1" spans="1:6" ht="53.25" customHeight="1">
      <c r="A1" s="270" t="s">
        <v>127</v>
      </c>
      <c r="B1" s="270"/>
      <c r="C1" s="270"/>
      <c r="D1" s="270"/>
      <c r="E1" s="270"/>
      <c r="F1" s="270"/>
    </row>
    <row r="2" spans="1:6" ht="29.25" customHeight="1" thickBot="1">
      <c r="A2" s="271" t="s">
        <v>337</v>
      </c>
      <c r="B2" s="271"/>
      <c r="C2" s="271"/>
      <c r="D2" s="271"/>
      <c r="E2" s="271"/>
      <c r="F2" s="271"/>
    </row>
    <row r="3" spans="1:6" ht="13.5" thickBot="1">
      <c r="A3" s="99" t="s">
        <v>0</v>
      </c>
      <c r="B3" s="100" t="s">
        <v>319</v>
      </c>
      <c r="C3" s="100" t="s">
        <v>137</v>
      </c>
      <c r="D3" s="101" t="s">
        <v>7</v>
      </c>
      <c r="E3" s="101" t="s">
        <v>8</v>
      </c>
      <c r="F3" s="102" t="s">
        <v>9</v>
      </c>
    </row>
    <row r="4" spans="1:6">
      <c r="A4" s="103" t="s">
        <v>198</v>
      </c>
      <c r="B4" s="104" t="s">
        <v>199</v>
      </c>
      <c r="C4" s="103" t="s">
        <v>198</v>
      </c>
      <c r="D4" s="104" t="s">
        <v>200</v>
      </c>
      <c r="E4" s="104" t="s">
        <v>201</v>
      </c>
      <c r="F4" s="105" t="s">
        <v>202</v>
      </c>
    </row>
    <row r="5" spans="1:6">
      <c r="A5" s="106"/>
      <c r="B5" s="107"/>
      <c r="C5" s="108"/>
      <c r="D5" s="108" t="s">
        <v>196</v>
      </c>
      <c r="E5" s="107"/>
      <c r="F5" s="107"/>
    </row>
    <row r="6" spans="1:6">
      <c r="A6" s="154" t="s">
        <v>16</v>
      </c>
      <c r="B6" s="155" t="s">
        <v>149</v>
      </c>
      <c r="C6" s="155" t="s">
        <v>149</v>
      </c>
      <c r="D6" s="109" t="s">
        <v>17</v>
      </c>
      <c r="E6" s="172"/>
      <c r="F6" s="173"/>
    </row>
    <row r="7" spans="1:6" ht="38.25">
      <c r="A7" s="156">
        <v>1</v>
      </c>
      <c r="B7" s="126" t="s">
        <v>168</v>
      </c>
      <c r="C7" s="157" t="s">
        <v>278</v>
      </c>
      <c r="D7" s="117" t="s">
        <v>342</v>
      </c>
      <c r="E7" s="174" t="s">
        <v>30</v>
      </c>
      <c r="F7" s="175">
        <f>F8+F9</f>
        <v>138</v>
      </c>
    </row>
    <row r="8" spans="1:6">
      <c r="A8" s="158"/>
      <c r="B8" s="133"/>
      <c r="C8" s="159"/>
      <c r="D8" s="110" t="s">
        <v>210</v>
      </c>
      <c r="E8" s="111" t="s">
        <v>211</v>
      </c>
      <c r="F8" s="112">
        <v>38</v>
      </c>
    </row>
    <row r="9" spans="1:6">
      <c r="A9" s="158"/>
      <c r="B9" s="133"/>
      <c r="C9" s="159"/>
      <c r="D9" s="113" t="s">
        <v>212</v>
      </c>
      <c r="E9" s="111" t="s">
        <v>211</v>
      </c>
      <c r="F9" s="112">
        <v>100</v>
      </c>
    </row>
    <row r="10" spans="1:6">
      <c r="A10" s="160"/>
      <c r="B10" s="161"/>
      <c r="C10" s="161"/>
      <c r="D10" s="108" t="s">
        <v>197</v>
      </c>
      <c r="E10" s="176"/>
      <c r="F10" s="176"/>
    </row>
    <row r="11" spans="1:6">
      <c r="A11" s="154" t="s">
        <v>16</v>
      </c>
      <c r="B11" s="155" t="s">
        <v>150</v>
      </c>
      <c r="C11" s="155" t="s">
        <v>150</v>
      </c>
      <c r="D11" s="114" t="s">
        <v>57</v>
      </c>
      <c r="E11" s="177"/>
      <c r="F11" s="178"/>
    </row>
    <row r="12" spans="1:6" ht="38.25">
      <c r="A12" s="156">
        <f>A7+1</f>
        <v>2</v>
      </c>
      <c r="B12" s="126" t="s">
        <v>170</v>
      </c>
      <c r="C12" s="157" t="s">
        <v>187</v>
      </c>
      <c r="D12" s="117" t="s">
        <v>343</v>
      </c>
      <c r="E12" s="174" t="s">
        <v>279</v>
      </c>
      <c r="F12" s="175">
        <f>F13+F14</f>
        <v>17064.400000000001</v>
      </c>
    </row>
    <row r="13" spans="1:6" ht="27">
      <c r="A13" s="158"/>
      <c r="B13" s="133"/>
      <c r="C13" s="159"/>
      <c r="D13" s="110" t="s">
        <v>224</v>
      </c>
      <c r="E13" s="119" t="s">
        <v>279</v>
      </c>
      <c r="F13" s="120">
        <f>450*14.8</f>
        <v>6660</v>
      </c>
    </row>
    <row r="14" spans="1:6" ht="27">
      <c r="A14" s="158"/>
      <c r="B14" s="133"/>
      <c r="C14" s="159"/>
      <c r="D14" s="113" t="s">
        <v>225</v>
      </c>
      <c r="E14" s="119" t="s">
        <v>279</v>
      </c>
      <c r="F14" s="120">
        <f>1153*14.8-450*14.8</f>
        <v>10404.400000000001</v>
      </c>
    </row>
    <row r="15" spans="1:6" ht="25.5">
      <c r="A15" s="156">
        <f>A12+1</f>
        <v>3</v>
      </c>
      <c r="B15" s="126" t="s">
        <v>169</v>
      </c>
      <c r="C15" s="157" t="s">
        <v>188</v>
      </c>
      <c r="D15" s="117" t="s">
        <v>344</v>
      </c>
      <c r="E15" s="174" t="s">
        <v>279</v>
      </c>
      <c r="F15" s="175">
        <f>500*14.8</f>
        <v>7400</v>
      </c>
    </row>
    <row r="16" spans="1:6" ht="14.25">
      <c r="A16" s="158"/>
      <c r="B16" s="133"/>
      <c r="C16" s="159"/>
      <c r="D16" s="197" t="s">
        <v>226</v>
      </c>
      <c r="E16" s="133"/>
      <c r="F16" s="133"/>
    </row>
    <row r="17" spans="1:6">
      <c r="A17" s="154"/>
      <c r="B17" s="155" t="s">
        <v>150</v>
      </c>
      <c r="C17" s="155" t="s">
        <v>150</v>
      </c>
      <c r="D17" s="121" t="s">
        <v>45</v>
      </c>
      <c r="E17" s="177"/>
      <c r="F17" s="178"/>
    </row>
    <row r="18" spans="1:6" ht="25.5">
      <c r="A18" s="156">
        <f>A15+1</f>
        <v>4</v>
      </c>
      <c r="B18" s="126" t="s">
        <v>171</v>
      </c>
      <c r="C18" s="157" t="s">
        <v>189</v>
      </c>
      <c r="D18" s="117" t="s">
        <v>268</v>
      </c>
      <c r="E18" s="174" t="s">
        <v>280</v>
      </c>
      <c r="F18" s="175">
        <f>39*14</f>
        <v>546</v>
      </c>
    </row>
    <row r="19" spans="1:6">
      <c r="A19" s="158"/>
      <c r="B19" s="133"/>
      <c r="C19" s="159"/>
      <c r="D19" s="197" t="s">
        <v>227</v>
      </c>
      <c r="E19" s="133"/>
      <c r="F19" s="133"/>
    </row>
    <row r="20" spans="1:6" ht="25.5">
      <c r="A20" s="156">
        <f>A18+1</f>
        <v>5</v>
      </c>
      <c r="B20" s="126" t="s">
        <v>171</v>
      </c>
      <c r="C20" s="157" t="s">
        <v>190</v>
      </c>
      <c r="D20" s="117" t="s">
        <v>269</v>
      </c>
      <c r="E20" s="174" t="s">
        <v>280</v>
      </c>
      <c r="F20" s="175">
        <f>11*8</f>
        <v>88</v>
      </c>
    </row>
    <row r="21" spans="1:6">
      <c r="A21" s="158"/>
      <c r="B21" s="133"/>
      <c r="C21" s="159"/>
      <c r="D21" s="197" t="s">
        <v>228</v>
      </c>
      <c r="E21" s="133"/>
      <c r="F21" s="133"/>
    </row>
    <row r="22" spans="1:6">
      <c r="A22" s="154" t="s">
        <v>16</v>
      </c>
      <c r="B22" s="155" t="s">
        <v>166</v>
      </c>
      <c r="C22" s="155" t="s">
        <v>166</v>
      </c>
      <c r="D22" s="121" t="s">
        <v>74</v>
      </c>
      <c r="E22" s="177"/>
      <c r="F22" s="178"/>
    </row>
    <row r="23" spans="1:6">
      <c r="A23" s="163"/>
      <c r="B23" s="164"/>
      <c r="C23" s="165"/>
      <c r="D23" s="122" t="s">
        <v>158</v>
      </c>
      <c r="E23" s="179"/>
      <c r="F23" s="180"/>
    </row>
    <row r="24" spans="1:6" ht="25.5">
      <c r="A24" s="156">
        <f>A20+1</f>
        <v>6</v>
      </c>
      <c r="B24" s="126" t="s">
        <v>172</v>
      </c>
      <c r="C24" s="157" t="s">
        <v>157</v>
      </c>
      <c r="D24" s="117" t="s">
        <v>160</v>
      </c>
      <c r="E24" s="174" t="s">
        <v>279</v>
      </c>
      <c r="F24" s="175">
        <f>F28+F30+F32</f>
        <v>3445.7668999999996</v>
      </c>
    </row>
    <row r="25" spans="1:6" ht="25.5">
      <c r="A25" s="156">
        <f>A24+1</f>
        <v>7</v>
      </c>
      <c r="B25" s="126" t="s">
        <v>172</v>
      </c>
      <c r="C25" s="157" t="s">
        <v>155</v>
      </c>
      <c r="D25" s="117" t="s">
        <v>156</v>
      </c>
      <c r="E25" s="174" t="s">
        <v>279</v>
      </c>
      <c r="F25" s="175">
        <f>F28+F30+F32</f>
        <v>3445.7668999999996</v>
      </c>
    </row>
    <row r="26" spans="1:6" ht="25.5">
      <c r="A26" s="156">
        <f>A25+1</f>
        <v>8</v>
      </c>
      <c r="B26" s="126" t="s">
        <v>172</v>
      </c>
      <c r="C26" s="157" t="s">
        <v>151</v>
      </c>
      <c r="D26" s="117" t="s">
        <v>153</v>
      </c>
      <c r="E26" s="174" t="s">
        <v>279</v>
      </c>
      <c r="F26" s="175">
        <f>F28+F30+F32</f>
        <v>3445.7668999999996</v>
      </c>
    </row>
    <row r="27" spans="1:6" ht="25.5">
      <c r="A27" s="156">
        <f>A26+1</f>
        <v>9</v>
      </c>
      <c r="B27" s="126" t="s">
        <v>172</v>
      </c>
      <c r="C27" s="157" t="s">
        <v>152</v>
      </c>
      <c r="D27" s="117" t="s">
        <v>154</v>
      </c>
      <c r="E27" s="174" t="s">
        <v>22</v>
      </c>
      <c r="F27" s="175">
        <f>F28*262.7+F30*175+F32*175</f>
        <v>655190.70750000002</v>
      </c>
    </row>
    <row r="28" spans="1:6" ht="14.25">
      <c r="A28" s="166"/>
      <c r="B28" s="167"/>
      <c r="C28" s="111"/>
      <c r="D28" s="123" t="s">
        <v>124</v>
      </c>
      <c r="E28" s="119" t="s">
        <v>279</v>
      </c>
      <c r="F28" s="124">
        <f>595</f>
        <v>595</v>
      </c>
    </row>
    <row r="29" spans="1:6" ht="14.25">
      <c r="A29" s="158"/>
      <c r="B29" s="133"/>
      <c r="C29" s="159"/>
      <c r="D29" s="197" t="s">
        <v>229</v>
      </c>
      <c r="E29" s="133"/>
      <c r="F29" s="133"/>
    </row>
    <row r="30" spans="1:6" ht="14.25">
      <c r="A30" s="166"/>
      <c r="B30" s="167"/>
      <c r="C30" s="111"/>
      <c r="D30" s="123" t="s">
        <v>128</v>
      </c>
      <c r="E30" s="119" t="s">
        <v>279</v>
      </c>
      <c r="F30" s="124">
        <f>27*15.67</f>
        <v>423.09</v>
      </c>
    </row>
    <row r="31" spans="1:6">
      <c r="A31" s="166"/>
      <c r="B31" s="133"/>
      <c r="C31" s="159"/>
      <c r="D31" s="197" t="s">
        <v>230</v>
      </c>
      <c r="E31" s="133"/>
      <c r="F31" s="133"/>
    </row>
    <row r="32" spans="1:6" ht="14.25">
      <c r="A32" s="166"/>
      <c r="B32" s="167"/>
      <c r="C32" s="111"/>
      <c r="D32" s="123" t="s">
        <v>125</v>
      </c>
      <c r="E32" s="119" t="s">
        <v>279</v>
      </c>
      <c r="F32" s="124">
        <f xml:space="preserve"> (60*2)*13.17+(11.9+18.5+8.67+15)*15.67</f>
        <v>2427.6768999999999</v>
      </c>
    </row>
    <row r="33" spans="1:6">
      <c r="A33" s="166"/>
      <c r="B33" s="133"/>
      <c r="C33" s="159"/>
      <c r="D33" s="197" t="s">
        <v>252</v>
      </c>
      <c r="E33" s="133"/>
      <c r="F33" s="133"/>
    </row>
    <row r="34" spans="1:6">
      <c r="A34" s="163"/>
      <c r="B34" s="164"/>
      <c r="C34" s="165"/>
      <c r="D34" s="122" t="s">
        <v>159</v>
      </c>
      <c r="E34" s="179"/>
      <c r="F34" s="180"/>
    </row>
    <row r="35" spans="1:6" ht="25.5">
      <c r="A35" s="156">
        <f>A27+1</f>
        <v>10</v>
      </c>
      <c r="B35" s="126" t="s">
        <v>172</v>
      </c>
      <c r="C35" s="157" t="s">
        <v>191</v>
      </c>
      <c r="D35" s="117" t="s">
        <v>161</v>
      </c>
      <c r="E35" s="174" t="s">
        <v>279</v>
      </c>
      <c r="F35" s="175">
        <f>F39</f>
        <v>476.36800000000005</v>
      </c>
    </row>
    <row r="36" spans="1:6" ht="25.5">
      <c r="A36" s="156">
        <f>A35+1</f>
        <v>11</v>
      </c>
      <c r="B36" s="126" t="s">
        <v>172</v>
      </c>
      <c r="C36" s="157" t="s">
        <v>155</v>
      </c>
      <c r="D36" s="117" t="s">
        <v>156</v>
      </c>
      <c r="E36" s="174" t="s">
        <v>279</v>
      </c>
      <c r="F36" s="175">
        <f>F39</f>
        <v>476.36800000000005</v>
      </c>
    </row>
    <row r="37" spans="1:6" ht="25.5">
      <c r="A37" s="156">
        <f>A36+1</f>
        <v>12</v>
      </c>
      <c r="B37" s="126" t="s">
        <v>172</v>
      </c>
      <c r="C37" s="157" t="s">
        <v>151</v>
      </c>
      <c r="D37" s="117" t="s">
        <v>153</v>
      </c>
      <c r="E37" s="174" t="s">
        <v>279</v>
      </c>
      <c r="F37" s="175">
        <f>F39+F41</f>
        <v>476.36800000000005</v>
      </c>
    </row>
    <row r="38" spans="1:6" ht="25.5">
      <c r="A38" s="156">
        <f>A37+1</f>
        <v>13</v>
      </c>
      <c r="B38" s="126" t="s">
        <v>172</v>
      </c>
      <c r="C38" s="157" t="s">
        <v>152</v>
      </c>
      <c r="D38" s="117" t="s">
        <v>154</v>
      </c>
      <c r="E38" s="174" t="s">
        <v>22</v>
      </c>
      <c r="F38" s="175">
        <f>F39*155.4</f>
        <v>74027.587200000009</v>
      </c>
    </row>
    <row r="39" spans="1:6" ht="14.25">
      <c r="A39" s="166"/>
      <c r="B39" s="167"/>
      <c r="C39" s="111"/>
      <c r="D39" s="123" t="s">
        <v>129</v>
      </c>
      <c r="E39" s="119" t="s">
        <v>279</v>
      </c>
      <c r="F39" s="124">
        <f>38*15.67*0.8</f>
        <v>476.36800000000005</v>
      </c>
    </row>
    <row r="40" spans="1:6">
      <c r="A40" s="166"/>
      <c r="B40" s="167"/>
      <c r="C40" s="159"/>
      <c r="D40" s="197" t="s">
        <v>231</v>
      </c>
      <c r="E40" s="133"/>
      <c r="F40" s="133"/>
    </row>
    <row r="41" spans="1:6" ht="16.149999999999999" customHeight="1">
      <c r="A41" s="166"/>
      <c r="B41" s="167"/>
      <c r="C41" s="111"/>
      <c r="D41" s="123" t="s">
        <v>130</v>
      </c>
      <c r="E41" s="119" t="s">
        <v>279</v>
      </c>
      <c r="F41" s="124">
        <v>0</v>
      </c>
    </row>
    <row r="42" spans="1:6">
      <c r="A42" s="154" t="s">
        <v>16</v>
      </c>
      <c r="B42" s="155" t="s">
        <v>150</v>
      </c>
      <c r="C42" s="155" t="s">
        <v>150</v>
      </c>
      <c r="D42" s="121" t="s">
        <v>75</v>
      </c>
      <c r="E42" s="115"/>
      <c r="F42" s="116"/>
    </row>
    <row r="43" spans="1:6" ht="25.5">
      <c r="A43" s="156">
        <f>A38+1</f>
        <v>14</v>
      </c>
      <c r="B43" s="126" t="s">
        <v>173</v>
      </c>
      <c r="C43" s="157" t="s">
        <v>192</v>
      </c>
      <c r="D43" s="117" t="s">
        <v>270</v>
      </c>
      <c r="E43" s="174" t="s">
        <v>279</v>
      </c>
      <c r="F43" s="175">
        <f>0.5*(0.3+1)*20*28.4*2</f>
        <v>738.4</v>
      </c>
    </row>
    <row r="44" spans="1:6">
      <c r="A44" s="166"/>
      <c r="B44" s="167"/>
      <c r="C44" s="159"/>
      <c r="D44" s="197" t="s">
        <v>250</v>
      </c>
      <c r="E44" s="133"/>
      <c r="F44" s="133"/>
    </row>
    <row r="45" spans="1:6" ht="25.5">
      <c r="A45" s="156">
        <f>A43+1</f>
        <v>15</v>
      </c>
      <c r="B45" s="126" t="s">
        <v>173</v>
      </c>
      <c r="C45" s="157" t="s">
        <v>249</v>
      </c>
      <c r="D45" s="117" t="s">
        <v>248</v>
      </c>
      <c r="E45" s="174" t="s">
        <v>279</v>
      </c>
      <c r="F45" s="175">
        <f>0.5*(1.7+1)*20*28.4*2</f>
        <v>1533.6</v>
      </c>
    </row>
    <row r="46" spans="1:6">
      <c r="A46" s="166"/>
      <c r="B46" s="167"/>
      <c r="C46" s="159"/>
      <c r="D46" s="197" t="s">
        <v>251</v>
      </c>
      <c r="E46" s="133"/>
      <c r="F46" s="133"/>
    </row>
    <row r="47" spans="1:6">
      <c r="A47" s="272" t="s">
        <v>204</v>
      </c>
      <c r="B47" s="273"/>
      <c r="C47" s="273"/>
      <c r="D47" s="273"/>
      <c r="E47" s="273"/>
      <c r="F47" s="273"/>
    </row>
    <row r="48" spans="1:6">
      <c r="A48" s="154" t="s">
        <v>16</v>
      </c>
      <c r="B48" s="155" t="s">
        <v>166</v>
      </c>
      <c r="C48" s="155" t="s">
        <v>166</v>
      </c>
      <c r="D48" s="121" t="s">
        <v>162</v>
      </c>
      <c r="E48" s="177"/>
      <c r="F48" s="178"/>
    </row>
    <row r="49" spans="1:6" ht="76.5">
      <c r="A49" s="156">
        <f>A45+1</f>
        <v>16</v>
      </c>
      <c r="B49" s="126" t="s">
        <v>174</v>
      </c>
      <c r="C49" s="157" t="s">
        <v>164</v>
      </c>
      <c r="D49" s="125" t="s">
        <v>163</v>
      </c>
      <c r="E49" s="126" t="s">
        <v>22</v>
      </c>
      <c r="F49" s="127">
        <f>F50+F52</f>
        <v>887704</v>
      </c>
    </row>
    <row r="50" spans="1:6">
      <c r="A50" s="158"/>
      <c r="B50" s="133"/>
      <c r="C50" s="159"/>
      <c r="D50" s="110" t="s">
        <v>102</v>
      </c>
      <c r="E50" s="119" t="s">
        <v>22</v>
      </c>
      <c r="F50" s="120">
        <f>68814+74956+50.825/138*738372</f>
        <v>415710.26739130437</v>
      </c>
    </row>
    <row r="51" spans="1:6">
      <c r="A51" s="158"/>
      <c r="B51" s="167"/>
      <c r="C51" s="159"/>
      <c r="D51" s="197" t="s">
        <v>253</v>
      </c>
      <c r="E51" s="133"/>
      <c r="F51" s="133"/>
    </row>
    <row r="52" spans="1:6">
      <c r="A52" s="158"/>
      <c r="B52" s="133"/>
      <c r="C52" s="159"/>
      <c r="D52" s="110" t="s">
        <v>103</v>
      </c>
      <c r="E52" s="119" t="s">
        <v>22</v>
      </c>
      <c r="F52" s="120">
        <f>87.175/138*738372+5562</f>
        <v>471993.73260869563</v>
      </c>
    </row>
    <row r="53" spans="1:6">
      <c r="A53" s="158"/>
      <c r="B53" s="167"/>
      <c r="C53" s="159"/>
      <c r="D53" s="205" t="s">
        <v>254</v>
      </c>
      <c r="E53" s="158"/>
      <c r="F53" s="167"/>
    </row>
    <row r="54" spans="1:6">
      <c r="A54" s="272" t="s">
        <v>205</v>
      </c>
      <c r="B54" s="273"/>
      <c r="C54" s="273"/>
      <c r="D54" s="273"/>
      <c r="E54" s="273"/>
      <c r="F54" s="273"/>
    </row>
    <row r="55" spans="1:6">
      <c r="A55" s="154" t="s">
        <v>16</v>
      </c>
      <c r="B55" s="155" t="s">
        <v>166</v>
      </c>
      <c r="C55" s="155" t="s">
        <v>166</v>
      </c>
      <c r="D55" s="121" t="s">
        <v>24</v>
      </c>
      <c r="E55" s="177"/>
      <c r="F55" s="178"/>
    </row>
    <row r="56" spans="1:6">
      <c r="A56" s="168"/>
      <c r="B56" s="165"/>
      <c r="C56" s="165"/>
      <c r="D56" s="128" t="s">
        <v>271</v>
      </c>
      <c r="E56" s="181"/>
      <c r="F56" s="181"/>
    </row>
    <row r="57" spans="1:6" ht="25.5">
      <c r="A57" s="169">
        <f>A49+1</f>
        <v>17</v>
      </c>
      <c r="B57" s="126" t="s">
        <v>175</v>
      </c>
      <c r="C57" s="157" t="s">
        <v>138</v>
      </c>
      <c r="D57" s="129" t="s">
        <v>82</v>
      </c>
      <c r="E57" s="130"/>
      <c r="F57" s="127"/>
    </row>
    <row r="58" spans="1:6" ht="14.25">
      <c r="A58" s="158"/>
      <c r="B58" s="133"/>
      <c r="C58" s="159"/>
      <c r="D58" s="131" t="s">
        <v>83</v>
      </c>
      <c r="E58" s="119" t="s">
        <v>279</v>
      </c>
      <c r="F58" s="120">
        <f>F59</f>
        <v>468.62</v>
      </c>
    </row>
    <row r="59" spans="1:6" ht="14.25">
      <c r="A59" s="158"/>
      <c r="B59" s="133"/>
      <c r="C59" s="159"/>
      <c r="D59" s="132" t="s">
        <v>105</v>
      </c>
      <c r="E59" s="119" t="s">
        <v>279</v>
      </c>
      <c r="F59" s="120">
        <f>222.9+245.72</f>
        <v>468.62</v>
      </c>
    </row>
    <row r="60" spans="1:6" ht="14.25">
      <c r="A60" s="158"/>
      <c r="B60" s="133"/>
      <c r="C60" s="159"/>
      <c r="D60" s="197" t="s">
        <v>232</v>
      </c>
      <c r="E60" s="119"/>
      <c r="F60" s="120"/>
    </row>
    <row r="61" spans="1:6" ht="14.25">
      <c r="A61" s="158"/>
      <c r="B61" s="133"/>
      <c r="C61" s="159"/>
      <c r="D61" s="132" t="s">
        <v>109</v>
      </c>
      <c r="E61" s="119" t="s">
        <v>279</v>
      </c>
      <c r="F61" s="120">
        <v>0</v>
      </c>
    </row>
    <row r="62" spans="1:6" ht="25.5">
      <c r="A62" s="156">
        <f>A57+1</f>
        <v>18</v>
      </c>
      <c r="B62" s="126" t="s">
        <v>175</v>
      </c>
      <c r="C62" s="157" t="s">
        <v>138</v>
      </c>
      <c r="D62" s="129" t="s">
        <v>84</v>
      </c>
      <c r="E62" s="130"/>
      <c r="F62" s="127"/>
    </row>
    <row r="63" spans="1:6" ht="14.25">
      <c r="A63" s="158"/>
      <c r="B63" s="133"/>
      <c r="C63" s="159"/>
      <c r="D63" s="131" t="s">
        <v>83</v>
      </c>
      <c r="E63" s="119" t="s">
        <v>279</v>
      </c>
      <c r="F63" s="120">
        <f>F64+F66</f>
        <v>2048.5</v>
      </c>
    </row>
    <row r="64" spans="1:6" ht="14.25">
      <c r="A64" s="158"/>
      <c r="B64" s="133"/>
      <c r="C64" s="159"/>
      <c r="D64" s="132" t="s">
        <v>104</v>
      </c>
      <c r="E64" s="119" t="s">
        <v>279</v>
      </c>
      <c r="F64" s="120">
        <f>50.825/138*2048.5</f>
        <v>754.45661231884071</v>
      </c>
    </row>
    <row r="65" spans="1:6" ht="14.25">
      <c r="A65" s="158"/>
      <c r="B65" s="133"/>
      <c r="C65" s="159"/>
      <c r="D65" s="197" t="s">
        <v>255</v>
      </c>
      <c r="E65" s="119"/>
      <c r="F65" s="120"/>
    </row>
    <row r="66" spans="1:6" ht="14.25">
      <c r="A66" s="158"/>
      <c r="B66" s="133"/>
      <c r="C66" s="159"/>
      <c r="D66" s="132" t="s">
        <v>108</v>
      </c>
      <c r="E66" s="119" t="s">
        <v>279</v>
      </c>
      <c r="F66" s="120">
        <f>87.175/138*2048.5</f>
        <v>1294.0433876811594</v>
      </c>
    </row>
    <row r="67" spans="1:6" ht="14.25">
      <c r="A67" s="158"/>
      <c r="B67" s="133"/>
      <c r="C67" s="159"/>
      <c r="D67" s="197" t="s">
        <v>256</v>
      </c>
      <c r="E67" s="119"/>
      <c r="F67" s="120"/>
    </row>
    <row r="68" spans="1:6" ht="25.5">
      <c r="A68" s="156">
        <f>A62+1</f>
        <v>19</v>
      </c>
      <c r="B68" s="126" t="s">
        <v>175</v>
      </c>
      <c r="C68" s="157" t="s">
        <v>138</v>
      </c>
      <c r="D68" s="129" t="s">
        <v>86</v>
      </c>
      <c r="E68" s="174"/>
      <c r="F68" s="175"/>
    </row>
    <row r="69" spans="1:6" ht="12.6" customHeight="1">
      <c r="A69" s="158"/>
      <c r="B69" s="133"/>
      <c r="C69" s="159"/>
      <c r="D69" s="131" t="s">
        <v>81</v>
      </c>
      <c r="E69" s="119" t="s">
        <v>279</v>
      </c>
      <c r="F69" s="120">
        <f>1.4*15*2</f>
        <v>42</v>
      </c>
    </row>
    <row r="70" spans="1:6" ht="12.6" customHeight="1">
      <c r="A70" s="158"/>
      <c r="B70" s="133"/>
      <c r="C70" s="159"/>
      <c r="D70" s="197" t="s">
        <v>233</v>
      </c>
      <c r="E70" s="119"/>
      <c r="F70" s="120"/>
    </row>
    <row r="71" spans="1:6" ht="25.5">
      <c r="A71" s="156">
        <f>A68+1</f>
        <v>20</v>
      </c>
      <c r="B71" s="126" t="s">
        <v>175</v>
      </c>
      <c r="C71" s="157" t="s">
        <v>138</v>
      </c>
      <c r="D71" s="129" t="s">
        <v>87</v>
      </c>
      <c r="E71" s="174"/>
      <c r="F71" s="175"/>
    </row>
    <row r="72" spans="1:6" ht="14.25">
      <c r="A72" s="158"/>
      <c r="B72" s="133"/>
      <c r="C72" s="159"/>
      <c r="D72" s="131" t="s">
        <v>81</v>
      </c>
      <c r="E72" s="119" t="s">
        <v>279</v>
      </c>
      <c r="F72" s="120">
        <f>F73+F75</f>
        <v>189</v>
      </c>
    </row>
    <row r="73" spans="1:6" ht="14.25">
      <c r="A73" s="158"/>
      <c r="B73" s="133"/>
      <c r="C73" s="159"/>
      <c r="D73" s="132" t="s">
        <v>106</v>
      </c>
      <c r="E73" s="119" t="s">
        <v>279</v>
      </c>
      <c r="F73" s="134">
        <f>189*20/180</f>
        <v>21</v>
      </c>
    </row>
    <row r="74" spans="1:6" ht="13.9" customHeight="1">
      <c r="A74" s="158"/>
      <c r="B74" s="133"/>
      <c r="C74" s="159"/>
      <c r="D74" s="197" t="s">
        <v>234</v>
      </c>
      <c r="E74" s="133"/>
      <c r="F74" s="134"/>
    </row>
    <row r="75" spans="1:6" ht="14.25">
      <c r="A75" s="158"/>
      <c r="B75" s="133"/>
      <c r="C75" s="159"/>
      <c r="D75" s="132" t="s">
        <v>107</v>
      </c>
      <c r="E75" s="119" t="s">
        <v>279</v>
      </c>
      <c r="F75" s="134">
        <f>189*160/180</f>
        <v>168</v>
      </c>
    </row>
    <row r="76" spans="1:6" ht="14.25">
      <c r="A76" s="158"/>
      <c r="B76" s="133"/>
      <c r="C76" s="159"/>
      <c r="D76" s="197" t="s">
        <v>235</v>
      </c>
      <c r="E76" s="133"/>
      <c r="F76" s="134"/>
    </row>
    <row r="77" spans="1:6">
      <c r="A77" s="154" t="s">
        <v>16</v>
      </c>
      <c r="B77" s="155" t="s">
        <v>166</v>
      </c>
      <c r="C77" s="155" t="s">
        <v>166</v>
      </c>
      <c r="D77" s="121" t="s">
        <v>258</v>
      </c>
      <c r="E77" s="177"/>
      <c r="F77" s="178"/>
    </row>
    <row r="78" spans="1:6" ht="25.5">
      <c r="A78" s="156">
        <f>A71+1</f>
        <v>21</v>
      </c>
      <c r="B78" s="126" t="s">
        <v>175</v>
      </c>
      <c r="C78" s="157" t="s">
        <v>138</v>
      </c>
      <c r="D78" s="135" t="s">
        <v>259</v>
      </c>
      <c r="E78" s="174"/>
      <c r="F78" s="175"/>
    </row>
    <row r="79" spans="1:6">
      <c r="A79" s="156"/>
      <c r="B79" s="126"/>
      <c r="C79" s="157"/>
      <c r="D79" s="135" t="s">
        <v>261</v>
      </c>
      <c r="E79" s="174"/>
      <c r="F79" s="175"/>
    </row>
    <row r="80" spans="1:6" ht="14.25">
      <c r="A80" s="166"/>
      <c r="B80" s="167"/>
      <c r="C80" s="111"/>
      <c r="D80" s="123" t="s">
        <v>262</v>
      </c>
      <c r="E80" s="119" t="s">
        <v>279</v>
      </c>
      <c r="F80" s="124">
        <f>31.205*16.8*0.1</f>
        <v>52.424400000000006</v>
      </c>
    </row>
    <row r="81" spans="1:6">
      <c r="A81" s="166"/>
      <c r="B81" s="167"/>
      <c r="C81" s="111"/>
      <c r="D81" s="206" t="s">
        <v>265</v>
      </c>
      <c r="E81" s="142"/>
      <c r="F81" s="124"/>
    </row>
    <row r="82" spans="1:6" ht="14.25">
      <c r="A82" s="166"/>
      <c r="B82" s="167"/>
      <c r="C82" s="111"/>
      <c r="D82" s="123" t="s">
        <v>263</v>
      </c>
      <c r="E82" s="119" t="s">
        <v>279</v>
      </c>
      <c r="F82" s="124">
        <v>0</v>
      </c>
    </row>
    <row r="83" spans="1:6" ht="15" customHeight="1">
      <c r="A83" s="166"/>
      <c r="B83" s="167"/>
      <c r="C83" s="111"/>
      <c r="D83" s="206" t="s">
        <v>264</v>
      </c>
      <c r="E83" s="142"/>
      <c r="F83" s="124"/>
    </row>
    <row r="84" spans="1:6">
      <c r="A84" s="156"/>
      <c r="B84" s="126"/>
      <c r="C84" s="157"/>
      <c r="D84" s="135" t="s">
        <v>260</v>
      </c>
      <c r="E84" s="174"/>
      <c r="F84" s="175"/>
    </row>
    <row r="85" spans="1:6" ht="14.25">
      <c r="A85" s="166"/>
      <c r="B85" s="167"/>
      <c r="C85" s="111"/>
      <c r="D85" s="123" t="s">
        <v>262</v>
      </c>
      <c r="E85" s="119" t="s">
        <v>279</v>
      </c>
      <c r="F85" s="124">
        <f>137*14.8*0.24*50.825/138</f>
        <v>179.2222086956522</v>
      </c>
    </row>
    <row r="86" spans="1:6">
      <c r="A86" s="166"/>
      <c r="B86" s="167"/>
      <c r="C86" s="111"/>
      <c r="D86" s="206" t="s">
        <v>267</v>
      </c>
      <c r="E86" s="142"/>
      <c r="F86" s="124"/>
    </row>
    <row r="87" spans="1:6" ht="14.25">
      <c r="A87" s="166"/>
      <c r="B87" s="167"/>
      <c r="C87" s="111"/>
      <c r="D87" s="123" t="s">
        <v>263</v>
      </c>
      <c r="E87" s="119" t="s">
        <v>279</v>
      </c>
      <c r="F87" s="124">
        <f>137*14.8*0.24*87.175/138</f>
        <v>307.40179130434785</v>
      </c>
    </row>
    <row r="88" spans="1:6">
      <c r="A88" s="166"/>
      <c r="B88" s="167"/>
      <c r="C88" s="111"/>
      <c r="D88" s="206" t="s">
        <v>266</v>
      </c>
      <c r="E88" s="142"/>
      <c r="F88" s="124"/>
    </row>
    <row r="89" spans="1:6">
      <c r="A89" s="154" t="s">
        <v>16</v>
      </c>
      <c r="B89" s="155" t="s">
        <v>166</v>
      </c>
      <c r="C89" s="155" t="s">
        <v>166</v>
      </c>
      <c r="D89" s="121" t="s">
        <v>25</v>
      </c>
      <c r="E89" s="177"/>
      <c r="F89" s="178"/>
    </row>
    <row r="90" spans="1:6" ht="25.5">
      <c r="A90" s="156">
        <f>A78+1</f>
        <v>22</v>
      </c>
      <c r="B90" s="126" t="s">
        <v>176</v>
      </c>
      <c r="C90" s="157" t="s">
        <v>138</v>
      </c>
      <c r="D90" s="135" t="s">
        <v>257</v>
      </c>
      <c r="E90" s="174"/>
      <c r="F90" s="175"/>
    </row>
    <row r="91" spans="1:6" ht="14.25">
      <c r="A91" s="158"/>
      <c r="B91" s="133"/>
      <c r="C91" s="159"/>
      <c r="D91" s="136" t="s">
        <v>110</v>
      </c>
      <c r="E91" s="119" t="s">
        <v>279</v>
      </c>
      <c r="F91" s="120">
        <f>F92+F94</f>
        <v>315.38</v>
      </c>
    </row>
    <row r="92" spans="1:6" ht="12.6" customHeight="1">
      <c r="A92" s="158"/>
      <c r="B92" s="133"/>
      <c r="C92" s="111"/>
      <c r="D92" s="132" t="s">
        <v>111</v>
      </c>
      <c r="E92" s="119" t="s">
        <v>279</v>
      </c>
      <c r="F92" s="120">
        <f>137*14.8*0.15*50.825/138</f>
        <v>112.01388043478262</v>
      </c>
    </row>
    <row r="93" spans="1:6">
      <c r="A93" s="158"/>
      <c r="B93" s="133"/>
      <c r="C93" s="111"/>
      <c r="D93" s="197" t="s">
        <v>277</v>
      </c>
      <c r="E93" s="111"/>
      <c r="F93" s="111"/>
    </row>
    <row r="94" spans="1:6" ht="12.6" customHeight="1">
      <c r="A94" s="158"/>
      <c r="B94" s="133"/>
      <c r="C94" s="111"/>
      <c r="D94" s="132" t="s">
        <v>112</v>
      </c>
      <c r="E94" s="119" t="s">
        <v>279</v>
      </c>
      <c r="F94" s="120">
        <f>11.24+137*14.8*0.15*87.175/138</f>
        <v>203.36611956521739</v>
      </c>
    </row>
    <row r="95" spans="1:6" ht="14.25">
      <c r="A95" s="158"/>
      <c r="B95" s="133"/>
      <c r="C95" s="111"/>
      <c r="D95" s="197" t="s">
        <v>275</v>
      </c>
      <c r="E95" s="111"/>
      <c r="F95" s="111"/>
    </row>
    <row r="96" spans="1:6">
      <c r="A96" s="272" t="s">
        <v>206</v>
      </c>
      <c r="B96" s="273"/>
      <c r="C96" s="273"/>
      <c r="D96" s="273"/>
      <c r="E96" s="273"/>
      <c r="F96" s="273"/>
    </row>
    <row r="97" spans="1:6" ht="12.6" customHeight="1">
      <c r="A97" s="154" t="s">
        <v>16</v>
      </c>
      <c r="B97" s="155" t="s">
        <v>166</v>
      </c>
      <c r="C97" s="155" t="s">
        <v>166</v>
      </c>
      <c r="D97" s="121" t="s">
        <v>48</v>
      </c>
      <c r="E97" s="177"/>
      <c r="F97" s="178"/>
    </row>
    <row r="98" spans="1:6">
      <c r="A98" s="156">
        <f>A90+1</f>
        <v>23</v>
      </c>
      <c r="B98" s="126" t="s">
        <v>177</v>
      </c>
      <c r="C98" s="157" t="s">
        <v>139</v>
      </c>
      <c r="D98" s="129" t="s">
        <v>49</v>
      </c>
      <c r="E98" s="174" t="s">
        <v>30</v>
      </c>
      <c r="F98" s="175">
        <f>F99+F101</f>
        <v>231.14000000000004</v>
      </c>
    </row>
    <row r="99" spans="1:6">
      <c r="A99" s="158"/>
      <c r="B99" s="133"/>
      <c r="C99" s="159"/>
      <c r="D99" s="132" t="s">
        <v>131</v>
      </c>
      <c r="E99" s="119" t="s">
        <v>30</v>
      </c>
      <c r="F99" s="120">
        <f>8.3*2+4.6*2+15.67*2</f>
        <v>57.14</v>
      </c>
    </row>
    <row r="100" spans="1:6">
      <c r="A100" s="158"/>
      <c r="B100" s="133"/>
      <c r="C100" s="159"/>
      <c r="D100" s="197" t="s">
        <v>236</v>
      </c>
      <c r="E100" s="119"/>
      <c r="F100" s="120"/>
    </row>
    <row r="101" spans="1:6">
      <c r="A101" s="158"/>
      <c r="B101" s="133"/>
      <c r="C101" s="159"/>
      <c r="D101" s="132" t="s">
        <v>132</v>
      </c>
      <c r="E101" s="119" t="s">
        <v>30</v>
      </c>
      <c r="F101" s="120">
        <f xml:space="preserve"> 41.9+48.5+38.7+44.9</f>
        <v>174.00000000000003</v>
      </c>
    </row>
    <row r="102" spans="1:6">
      <c r="A102" s="198"/>
      <c r="B102" s="133"/>
      <c r="C102" s="159"/>
      <c r="D102" s="197" t="s">
        <v>237</v>
      </c>
      <c r="E102" s="199"/>
      <c r="F102" s="200"/>
    </row>
    <row r="103" spans="1:6">
      <c r="A103" s="272" t="s">
        <v>207</v>
      </c>
      <c r="B103" s="273"/>
      <c r="C103" s="273"/>
      <c r="D103" s="273"/>
      <c r="E103" s="273"/>
      <c r="F103" s="273"/>
    </row>
    <row r="104" spans="1:6">
      <c r="A104" s="154" t="s">
        <v>16</v>
      </c>
      <c r="B104" s="155" t="s">
        <v>166</v>
      </c>
      <c r="C104" s="155" t="s">
        <v>166</v>
      </c>
      <c r="D104" s="121" t="s">
        <v>213</v>
      </c>
      <c r="E104" s="115"/>
      <c r="F104" s="116"/>
    </row>
    <row r="105" spans="1:6" ht="25.5">
      <c r="A105" s="156">
        <f>A98+1</f>
        <v>24</v>
      </c>
      <c r="B105" s="126" t="s">
        <v>214</v>
      </c>
      <c r="C105" s="157" t="s">
        <v>215</v>
      </c>
      <c r="D105" s="129" t="s">
        <v>272</v>
      </c>
      <c r="E105" s="182" t="s">
        <v>280</v>
      </c>
      <c r="F105" s="183"/>
    </row>
    <row r="106" spans="1:6" ht="14.25">
      <c r="A106" s="132"/>
      <c r="B106" s="132"/>
      <c r="C106" s="132"/>
      <c r="D106" s="132" t="s">
        <v>216</v>
      </c>
      <c r="E106" s="184" t="s">
        <v>280</v>
      </c>
      <c r="F106" s="120">
        <f>51*15</f>
        <v>765</v>
      </c>
    </row>
    <row r="107" spans="1:6">
      <c r="A107" s="132"/>
      <c r="B107" s="132"/>
      <c r="C107" s="132"/>
      <c r="D107" s="197" t="s">
        <v>238</v>
      </c>
      <c r="E107" s="184"/>
      <c r="F107" s="120"/>
    </row>
    <row r="108" spans="1:6" ht="14.25">
      <c r="A108" s="132"/>
      <c r="B108" s="132"/>
      <c r="C108" s="132"/>
      <c r="D108" s="132" t="s">
        <v>217</v>
      </c>
      <c r="E108" s="184" t="s">
        <v>280</v>
      </c>
      <c r="F108" s="120">
        <f>87*15</f>
        <v>1305</v>
      </c>
    </row>
    <row r="109" spans="1:6">
      <c r="A109" s="201"/>
      <c r="B109" s="132"/>
      <c r="C109" s="132"/>
      <c r="D109" s="197" t="s">
        <v>239</v>
      </c>
      <c r="E109" s="184"/>
      <c r="F109" s="120"/>
    </row>
    <row r="110" spans="1:6" ht="25.5">
      <c r="A110" s="156">
        <f>A105+1</f>
        <v>25</v>
      </c>
      <c r="B110" s="126" t="s">
        <v>178</v>
      </c>
      <c r="C110" s="157" t="s">
        <v>273</v>
      </c>
      <c r="D110" s="129" t="s">
        <v>218</v>
      </c>
      <c r="E110" s="130"/>
      <c r="F110" s="127"/>
    </row>
    <row r="111" spans="1:6" ht="14.25">
      <c r="A111" s="158"/>
      <c r="B111" s="133"/>
      <c r="C111" s="159"/>
      <c r="D111" s="137" t="s">
        <v>219</v>
      </c>
      <c r="E111" s="184" t="s">
        <v>280</v>
      </c>
      <c r="F111" s="120">
        <v>640</v>
      </c>
    </row>
    <row r="112" spans="1:6">
      <c r="A112" s="158"/>
      <c r="B112" s="133"/>
      <c r="C112" s="159"/>
      <c r="D112" s="197" t="s">
        <v>240</v>
      </c>
      <c r="E112" s="202"/>
      <c r="F112" s="203"/>
    </row>
    <row r="113" spans="1:6" ht="25.5">
      <c r="A113" s="156">
        <f>A110+1</f>
        <v>26</v>
      </c>
      <c r="B113" s="126" t="s">
        <v>220</v>
      </c>
      <c r="C113" s="157" t="s">
        <v>221</v>
      </c>
      <c r="D113" s="138" t="s">
        <v>274</v>
      </c>
      <c r="E113" s="139"/>
      <c r="F113" s="140"/>
    </row>
    <row r="114" spans="1:6" ht="14.25">
      <c r="A114" s="158"/>
      <c r="B114" s="133"/>
      <c r="C114" s="159"/>
      <c r="D114" s="132" t="s">
        <v>222</v>
      </c>
      <c r="E114" s="184" t="s">
        <v>280</v>
      </c>
      <c r="F114" s="120">
        <f>51*15</f>
        <v>765</v>
      </c>
    </row>
    <row r="115" spans="1:6">
      <c r="A115" s="158"/>
      <c r="B115" s="133"/>
      <c r="C115" s="159"/>
      <c r="D115" s="197" t="s">
        <v>238</v>
      </c>
      <c r="E115" s="119"/>
      <c r="F115" s="120"/>
    </row>
    <row r="116" spans="1:6" ht="14.25">
      <c r="A116" s="158"/>
      <c r="B116" s="133"/>
      <c r="C116" s="159"/>
      <c r="D116" s="132" t="s">
        <v>223</v>
      </c>
      <c r="E116" s="184" t="s">
        <v>280</v>
      </c>
      <c r="F116" s="120">
        <f>87*15</f>
        <v>1305</v>
      </c>
    </row>
    <row r="117" spans="1:6">
      <c r="A117" s="198"/>
      <c r="B117" s="133"/>
      <c r="C117" s="159"/>
      <c r="D117" s="197" t="s">
        <v>239</v>
      </c>
      <c r="E117" s="202"/>
      <c r="F117" s="203"/>
    </row>
    <row r="118" spans="1:6">
      <c r="A118" s="274" t="s">
        <v>208</v>
      </c>
      <c r="B118" s="275"/>
      <c r="C118" s="275"/>
      <c r="D118" s="275"/>
      <c r="E118" s="275"/>
      <c r="F118" s="275"/>
    </row>
    <row r="119" spans="1:6">
      <c r="A119" s="154" t="s">
        <v>16</v>
      </c>
      <c r="B119" s="162" t="s">
        <v>166</v>
      </c>
      <c r="C119" s="162" t="s">
        <v>166</v>
      </c>
      <c r="D119" s="114" t="s">
        <v>31</v>
      </c>
      <c r="E119" s="185"/>
      <c r="F119" s="185"/>
    </row>
    <row r="120" spans="1:6" ht="38.25">
      <c r="A120" s="156">
        <f>A113+1</f>
        <v>27</v>
      </c>
      <c r="B120" s="126" t="s">
        <v>179</v>
      </c>
      <c r="C120" s="157" t="s">
        <v>193</v>
      </c>
      <c r="D120" s="129" t="s">
        <v>345</v>
      </c>
      <c r="E120" s="182" t="s">
        <v>280</v>
      </c>
      <c r="F120" s="175">
        <f>F121+F123</f>
        <v>1223</v>
      </c>
    </row>
    <row r="121" spans="1:6" ht="14.25">
      <c r="A121" s="166"/>
      <c r="B121" s="167"/>
      <c r="C121" s="111"/>
      <c r="D121" s="141" t="s">
        <v>113</v>
      </c>
      <c r="E121" s="184" t="s">
        <v>280</v>
      </c>
      <c r="F121" s="124">
        <f>200+140+110+165</f>
        <v>615</v>
      </c>
    </row>
    <row r="122" spans="1:6" ht="14.25">
      <c r="A122" s="166"/>
      <c r="B122" s="167"/>
      <c r="C122" s="111"/>
      <c r="D122" s="197" t="s">
        <v>241</v>
      </c>
      <c r="E122" s="142"/>
      <c r="F122" s="124"/>
    </row>
    <row r="123" spans="1:6" ht="14.25">
      <c r="A123" s="166"/>
      <c r="B123" s="167"/>
      <c r="C123" s="111"/>
      <c r="D123" s="141" t="s">
        <v>114</v>
      </c>
      <c r="E123" s="184" t="s">
        <v>280</v>
      </c>
      <c r="F123" s="124">
        <v>608</v>
      </c>
    </row>
    <row r="124" spans="1:6" ht="14.25">
      <c r="A124" s="166"/>
      <c r="B124" s="167"/>
      <c r="C124" s="111"/>
      <c r="D124" s="197" t="s">
        <v>242</v>
      </c>
      <c r="E124" s="142"/>
      <c r="F124" s="124"/>
    </row>
    <row r="125" spans="1:6" s="91" customFormat="1" ht="25.5">
      <c r="A125" s="169">
        <f>A120+1</f>
        <v>28</v>
      </c>
      <c r="B125" s="157" t="s">
        <v>180</v>
      </c>
      <c r="C125" s="157" t="s">
        <v>194</v>
      </c>
      <c r="D125" s="117" t="s">
        <v>133</v>
      </c>
      <c r="E125" s="157" t="s">
        <v>30</v>
      </c>
      <c r="F125" s="186">
        <f>55*4+2*17</f>
        <v>254</v>
      </c>
    </row>
    <row r="126" spans="1:6">
      <c r="A126" s="166"/>
      <c r="B126" s="167"/>
      <c r="C126" s="111"/>
      <c r="D126" s="143" t="s">
        <v>135</v>
      </c>
      <c r="E126" s="142" t="s">
        <v>30</v>
      </c>
      <c r="F126" s="124">
        <f>17.5*2</f>
        <v>35</v>
      </c>
    </row>
    <row r="127" spans="1:6">
      <c r="A127" s="166"/>
      <c r="B127" s="167"/>
      <c r="C127" s="111"/>
      <c r="D127" s="197" t="s">
        <v>243</v>
      </c>
      <c r="E127" s="142"/>
      <c r="F127" s="124"/>
    </row>
    <row r="128" spans="1:6">
      <c r="A128" s="166"/>
      <c r="B128" s="167"/>
      <c r="C128" s="111"/>
      <c r="D128" s="144" t="s">
        <v>134</v>
      </c>
      <c r="E128" s="142" t="s">
        <v>30</v>
      </c>
      <c r="F128" s="124">
        <f>55*4</f>
        <v>220</v>
      </c>
    </row>
    <row r="129" spans="1:6">
      <c r="A129" s="166"/>
      <c r="B129" s="167"/>
      <c r="C129" s="111"/>
      <c r="D129" s="197" t="s">
        <v>244</v>
      </c>
      <c r="E129" s="142"/>
      <c r="F129" s="124"/>
    </row>
    <row r="130" spans="1:6" s="91" customFormat="1" ht="25.5">
      <c r="A130" s="169">
        <f>A125+1</f>
        <v>29</v>
      </c>
      <c r="B130" s="157" t="s">
        <v>181</v>
      </c>
      <c r="C130" s="157" t="s">
        <v>141</v>
      </c>
      <c r="D130" s="117" t="s">
        <v>43</v>
      </c>
      <c r="E130" s="157" t="s">
        <v>20</v>
      </c>
      <c r="F130" s="186">
        <f>F131+F132</f>
        <v>339</v>
      </c>
    </row>
    <row r="131" spans="1:6" s="91" customFormat="1">
      <c r="A131" s="166"/>
      <c r="B131" s="167"/>
      <c r="C131" s="111"/>
      <c r="D131" s="143" t="s">
        <v>135</v>
      </c>
      <c r="E131" s="111" t="s">
        <v>20</v>
      </c>
      <c r="F131" s="112">
        <f>TRUNC((F126)/1.5*2)</f>
        <v>46</v>
      </c>
    </row>
    <row r="132" spans="1:6" s="91" customFormat="1">
      <c r="A132" s="166"/>
      <c r="B132" s="167"/>
      <c r="C132" s="111"/>
      <c r="D132" s="144" t="s">
        <v>134</v>
      </c>
      <c r="E132" s="111" t="s">
        <v>20</v>
      </c>
      <c r="F132" s="112">
        <f>TRUNC((F128)/1.5*2)</f>
        <v>293</v>
      </c>
    </row>
    <row r="133" spans="1:6" s="91" customFormat="1">
      <c r="A133" s="276" t="s">
        <v>209</v>
      </c>
      <c r="B133" s="277"/>
      <c r="C133" s="277"/>
      <c r="D133" s="277"/>
      <c r="E133" s="277"/>
      <c r="F133" s="277"/>
    </row>
    <row r="134" spans="1:6" s="91" customFormat="1">
      <c r="A134" s="154" t="s">
        <v>16</v>
      </c>
      <c r="B134" s="162" t="s">
        <v>166</v>
      </c>
      <c r="C134" s="162" t="s">
        <v>166</v>
      </c>
      <c r="D134" s="114" t="s">
        <v>32</v>
      </c>
      <c r="E134" s="145"/>
      <c r="F134" s="145"/>
    </row>
    <row r="135" spans="1:6" s="91" customFormat="1">
      <c r="A135" s="156" t="s">
        <v>16</v>
      </c>
      <c r="B135" s="126"/>
      <c r="C135" s="126" t="s">
        <v>142</v>
      </c>
      <c r="D135" s="146" t="s">
        <v>32</v>
      </c>
      <c r="E135" s="187"/>
      <c r="F135" s="187"/>
    </row>
    <row r="136" spans="1:6" ht="14.25">
      <c r="A136" s="158"/>
      <c r="B136" s="133"/>
      <c r="C136" s="159"/>
      <c r="D136" s="131" t="s">
        <v>37</v>
      </c>
      <c r="E136" s="184" t="s">
        <v>280</v>
      </c>
      <c r="F136" s="120">
        <v>640</v>
      </c>
    </row>
    <row r="137" spans="1:6">
      <c r="A137" s="166"/>
      <c r="B137" s="167"/>
      <c r="C137" s="111"/>
      <c r="D137" s="197" t="s">
        <v>240</v>
      </c>
      <c r="E137" s="142"/>
      <c r="F137" s="124"/>
    </row>
    <row r="138" spans="1:6" s="92" customFormat="1">
      <c r="A138" s="169">
        <f>A130+1</f>
        <v>30</v>
      </c>
      <c r="B138" s="157" t="s">
        <v>186</v>
      </c>
      <c r="C138" s="157" t="s">
        <v>165</v>
      </c>
      <c r="D138" s="117" t="s">
        <v>92</v>
      </c>
      <c r="E138" s="157"/>
      <c r="F138" s="157"/>
    </row>
    <row r="139" spans="1:6" s="86" customFormat="1">
      <c r="A139" s="166"/>
      <c r="B139" s="167"/>
      <c r="C139" s="111"/>
      <c r="D139" s="147" t="s">
        <v>93</v>
      </c>
      <c r="E139" s="142" t="s">
        <v>30</v>
      </c>
      <c r="F139" s="124">
        <f>138*4</f>
        <v>552</v>
      </c>
    </row>
    <row r="140" spans="1:6" s="86" customFormat="1">
      <c r="A140" s="166"/>
      <c r="B140" s="167"/>
      <c r="C140" s="111"/>
      <c r="D140" s="197" t="s">
        <v>245</v>
      </c>
      <c r="E140" s="204"/>
      <c r="F140" s="124"/>
    </row>
    <row r="141" spans="1:6" s="92" customFormat="1" ht="15.6" customHeight="1">
      <c r="A141" s="169">
        <f>A138+1</f>
        <v>31</v>
      </c>
      <c r="B141" s="157" t="s">
        <v>167</v>
      </c>
      <c r="C141" s="157" t="s">
        <v>167</v>
      </c>
      <c r="D141" s="117" t="s">
        <v>341</v>
      </c>
      <c r="E141" s="188" t="s">
        <v>30</v>
      </c>
      <c r="F141" s="238" t="s">
        <v>167</v>
      </c>
    </row>
    <row r="142" spans="1:6" s="92" customFormat="1">
      <c r="A142" s="169">
        <f>A141+1</f>
        <v>32</v>
      </c>
      <c r="B142" s="157" t="s">
        <v>185</v>
      </c>
      <c r="C142" s="157" t="s">
        <v>143</v>
      </c>
      <c r="D142" s="117" t="s">
        <v>95</v>
      </c>
      <c r="E142" s="189"/>
      <c r="F142" s="157"/>
    </row>
    <row r="143" spans="1:6">
      <c r="A143" s="158"/>
      <c r="B143" s="133"/>
      <c r="C143" s="159"/>
      <c r="D143" s="131" t="s">
        <v>145</v>
      </c>
      <c r="E143" s="119" t="s">
        <v>39</v>
      </c>
      <c r="F143" s="120">
        <f>85+65</f>
        <v>150</v>
      </c>
    </row>
    <row r="144" spans="1:6">
      <c r="A144" s="158"/>
      <c r="B144" s="133"/>
      <c r="C144" s="159"/>
      <c r="D144" s="197" t="s">
        <v>322</v>
      </c>
      <c r="E144" s="119"/>
      <c r="F144" s="120"/>
    </row>
    <row r="145" spans="1:6">
      <c r="A145" s="158"/>
      <c r="B145" s="133"/>
      <c r="C145" s="159"/>
      <c r="D145" s="131" t="s">
        <v>144</v>
      </c>
      <c r="E145" s="119" t="s">
        <v>39</v>
      </c>
      <c r="F145" s="120">
        <f>(137*6+8*13.8+8)*50.8/138</f>
        <v>346.17623188405798</v>
      </c>
    </row>
    <row r="146" spans="1:6">
      <c r="A146" s="158"/>
      <c r="B146" s="133"/>
      <c r="C146" s="159"/>
      <c r="D146" s="197" t="s">
        <v>246</v>
      </c>
      <c r="E146" s="119"/>
      <c r="F146" s="120"/>
    </row>
    <row r="147" spans="1:6">
      <c r="A147" s="158"/>
      <c r="B147" s="133"/>
      <c r="C147" s="159"/>
      <c r="D147" s="131" t="s">
        <v>146</v>
      </c>
      <c r="E147" s="119" t="s">
        <v>39</v>
      </c>
      <c r="F147" s="120">
        <f>(137*6+8*13.8+8)*87.2/138</f>
        <v>594.22376811594211</v>
      </c>
    </row>
    <row r="148" spans="1:6">
      <c r="A148" s="158"/>
      <c r="B148" s="133"/>
      <c r="C148" s="159"/>
      <c r="D148" s="197" t="s">
        <v>247</v>
      </c>
      <c r="E148" s="119"/>
      <c r="F148" s="120"/>
    </row>
    <row r="149" spans="1:6" s="91" customFormat="1" ht="25.5">
      <c r="A149" s="169">
        <f>A142+1</f>
        <v>33</v>
      </c>
      <c r="B149" s="157" t="s">
        <v>184</v>
      </c>
      <c r="C149" s="157" t="s">
        <v>195</v>
      </c>
      <c r="D149" s="117" t="s">
        <v>52</v>
      </c>
      <c r="E149" s="157"/>
      <c r="F149" s="157"/>
    </row>
    <row r="150" spans="1:6">
      <c r="A150" s="158"/>
      <c r="B150" s="133"/>
      <c r="C150" s="159"/>
      <c r="D150" s="131" t="s">
        <v>33</v>
      </c>
      <c r="E150" s="119" t="s">
        <v>20</v>
      </c>
      <c r="F150" s="120">
        <v>24</v>
      </c>
    </row>
    <row r="151" spans="1:6">
      <c r="A151" s="166"/>
      <c r="B151" s="167"/>
      <c r="C151" s="111"/>
      <c r="D151" s="148" t="s">
        <v>34</v>
      </c>
      <c r="E151" s="190" t="s">
        <v>20</v>
      </c>
      <c r="F151" s="191">
        <v>2</v>
      </c>
    </row>
    <row r="152" spans="1:6" s="84" customFormat="1" ht="25.5">
      <c r="A152" s="169">
        <f>A149+1</f>
        <v>34</v>
      </c>
      <c r="B152" s="157" t="s">
        <v>183</v>
      </c>
      <c r="C152" s="157" t="s">
        <v>147</v>
      </c>
      <c r="D152" s="117" t="s">
        <v>276</v>
      </c>
      <c r="E152" s="157" t="s">
        <v>23</v>
      </c>
      <c r="F152" s="192">
        <v>1</v>
      </c>
    </row>
    <row r="153" spans="1:6" s="84" customFormat="1" ht="30.6" customHeight="1" thickBot="1">
      <c r="A153" s="170">
        <f>A152+1</f>
        <v>35</v>
      </c>
      <c r="B153" s="171" t="s">
        <v>182</v>
      </c>
      <c r="C153" s="171" t="s">
        <v>148</v>
      </c>
      <c r="D153" s="149" t="s">
        <v>346</v>
      </c>
      <c r="E153" s="171" t="s">
        <v>23</v>
      </c>
      <c r="F153" s="193">
        <v>1</v>
      </c>
    </row>
    <row r="154" spans="1:6">
      <c r="A154" s="150"/>
      <c r="B154" s="150"/>
      <c r="C154" s="151"/>
      <c r="D154" s="194"/>
      <c r="E154" s="194"/>
      <c r="F154" s="118"/>
    </row>
    <row r="155" spans="1:6" hidden="1">
      <c r="A155" s="150"/>
      <c r="B155" s="150"/>
      <c r="C155" s="151"/>
      <c r="F155" s="118"/>
    </row>
    <row r="156" spans="1:6" ht="13.5" hidden="1" thickBot="1">
      <c r="A156" s="150"/>
      <c r="B156" s="150"/>
      <c r="C156" s="151"/>
      <c r="D156" s="152" t="s">
        <v>115</v>
      </c>
      <c r="E156" s="268" t="s">
        <v>116</v>
      </c>
      <c r="F156" s="269"/>
    </row>
    <row r="157" spans="1:6" hidden="1">
      <c r="A157" s="150"/>
      <c r="B157" s="150"/>
      <c r="C157" s="151"/>
      <c r="D157" s="195" t="s">
        <v>126</v>
      </c>
      <c r="E157" s="266" t="e">
        <f>#REF!+#REF!+#REF!+#REF!+#REF!+#REF!+#REF!+#REF!+#REF!+#REF!+#REF!+#REF!+#REF!+#REF!+#REF!+#REF!+#REF!+#REF!+#REF!+#REF!/2+#REF!+#REF!+#REF!+#REF!+#REF!/2+#REF!/2+#REF!+#REF!</f>
        <v>#REF!</v>
      </c>
      <c r="F157" s="267"/>
    </row>
    <row r="158" spans="1:6" ht="13.5" hidden="1" thickBot="1">
      <c r="A158" s="150"/>
      <c r="B158" s="150"/>
      <c r="C158" s="151"/>
      <c r="D158" s="196" t="s">
        <v>101</v>
      </c>
      <c r="E158" s="264" t="e">
        <f>#REF!+#REF!+#REF!+#REF!+#REF!+#REF!+#REF!+#REF!+#REF!+#REF!+#REF!+#REF!+#REF!++#REF!+#REF!+#REF!+#REF!+#REF!+#REF!+#REF!+#REF!+#REF!/2+#REF!/2+#REF!+#REF!/2</f>
        <v>#REF!</v>
      </c>
      <c r="F158" s="265"/>
    </row>
    <row r="159" spans="1:6" ht="13.5" hidden="1" thickBot="1">
      <c r="D159" s="153"/>
      <c r="E159" s="262" t="e">
        <f>E157+E158</f>
        <v>#REF!</v>
      </c>
      <c r="F159" s="263"/>
    </row>
    <row r="160" spans="1:6" hidden="1">
      <c r="A160" s="98" t="s">
        <v>36</v>
      </c>
      <c r="B160" s="93"/>
      <c r="C160" s="96"/>
    </row>
  </sheetData>
  <mergeCells count="12">
    <mergeCell ref="E159:F159"/>
    <mergeCell ref="E158:F158"/>
    <mergeCell ref="E157:F157"/>
    <mergeCell ref="E156:F156"/>
    <mergeCell ref="A1:F1"/>
    <mergeCell ref="A2:F2"/>
    <mergeCell ref="A96:F96"/>
    <mergeCell ref="A103:F103"/>
    <mergeCell ref="A118:F118"/>
    <mergeCell ref="A133:F133"/>
    <mergeCell ref="A54:F54"/>
    <mergeCell ref="A47:F47"/>
  </mergeCells>
  <pageMargins left="0.25" right="0.25" top="0.75" bottom="0.75" header="0.3" footer="0.3"/>
  <pageSetup paperSize="9" scale="85" fitToHeight="0" orientation="portrait" r:id="rId1"/>
  <headerFooter alignWithMargins="0">
    <oddHeader>&amp;R2. Branża Konstrukcyjna- Mostowa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C49F1-373A-458A-B653-895185F20BE5}">
  <sheetPr>
    <tabColor rgb="FF00B0F0"/>
  </sheetPr>
  <dimension ref="A1:F161"/>
  <sheetViews>
    <sheetView view="pageLayout" topLeftCell="A124" zoomScaleNormal="100" zoomScaleSheetLayoutView="115" workbookViewId="0">
      <selection activeCell="C128" sqref="C128"/>
    </sheetView>
  </sheetViews>
  <sheetFormatPr defaultColWidth="9.140625" defaultRowHeight="12.75"/>
  <cols>
    <col min="1" max="1" width="4.140625" style="84" customWidth="1"/>
    <col min="2" max="2" width="16.42578125" style="84" customWidth="1"/>
    <col min="3" max="3" width="79.5703125" style="83" customWidth="1"/>
    <col min="4" max="4" width="7.42578125" style="83" customWidth="1"/>
    <col min="5" max="5" width="10.7109375" style="85" customWidth="1"/>
    <col min="6" max="6" width="15" style="83" customWidth="1"/>
    <col min="7" max="7" width="14.140625" style="83" customWidth="1"/>
    <col min="8" max="8" width="7" style="83" customWidth="1"/>
    <col min="9" max="9" width="9.5703125" style="83" customWidth="1"/>
    <col min="10" max="10" width="20.28515625" style="83" customWidth="1"/>
    <col min="11" max="16384" width="9.140625" style="83"/>
  </cols>
  <sheetData>
    <row r="1" spans="1:5" ht="53.25" customHeight="1">
      <c r="A1" s="270" t="s">
        <v>127</v>
      </c>
      <c r="B1" s="270"/>
      <c r="C1" s="270"/>
      <c r="D1" s="270"/>
      <c r="E1" s="270"/>
    </row>
    <row r="2" spans="1:5" ht="43.15" customHeight="1" thickBot="1">
      <c r="A2" s="271" t="s">
        <v>338</v>
      </c>
      <c r="B2" s="271"/>
      <c r="C2" s="271"/>
      <c r="D2" s="271"/>
      <c r="E2" s="271"/>
    </row>
    <row r="3" spans="1:5" ht="13.5" thickBot="1">
      <c r="A3" s="99" t="s">
        <v>0</v>
      </c>
      <c r="B3" s="100" t="s">
        <v>319</v>
      </c>
      <c r="C3" s="101" t="s">
        <v>7</v>
      </c>
      <c r="D3" s="101" t="s">
        <v>8</v>
      </c>
      <c r="E3" s="102" t="s">
        <v>9</v>
      </c>
    </row>
    <row r="4" spans="1:5">
      <c r="A4" s="103" t="s">
        <v>198</v>
      </c>
      <c r="B4" s="104" t="s">
        <v>199</v>
      </c>
      <c r="C4" s="104" t="s">
        <v>200</v>
      </c>
      <c r="D4" s="104" t="s">
        <v>201</v>
      </c>
      <c r="E4" s="105" t="s">
        <v>202</v>
      </c>
    </row>
    <row r="5" spans="1:5">
      <c r="A5" s="106"/>
      <c r="B5" s="107"/>
      <c r="C5" s="108" t="s">
        <v>196</v>
      </c>
      <c r="D5" s="107"/>
      <c r="E5" s="107"/>
    </row>
    <row r="6" spans="1:5">
      <c r="A6" s="154" t="s">
        <v>16</v>
      </c>
      <c r="B6" s="155" t="s">
        <v>149</v>
      </c>
      <c r="C6" s="109" t="s">
        <v>17</v>
      </c>
      <c r="D6" s="172"/>
      <c r="E6" s="173"/>
    </row>
    <row r="7" spans="1:5" ht="38.25">
      <c r="A7" s="156">
        <v>1</v>
      </c>
      <c r="B7" s="126" t="s">
        <v>168</v>
      </c>
      <c r="C7" s="117" t="s">
        <v>342</v>
      </c>
      <c r="D7" s="174" t="s">
        <v>30</v>
      </c>
      <c r="E7" s="175">
        <f>E8+E9</f>
        <v>38</v>
      </c>
    </row>
    <row r="8" spans="1:5">
      <c r="A8" s="158"/>
      <c r="B8" s="133"/>
      <c r="C8" s="110" t="s">
        <v>210</v>
      </c>
      <c r="D8" s="111" t="s">
        <v>211</v>
      </c>
      <c r="E8" s="112">
        <v>38</v>
      </c>
    </row>
    <row r="9" spans="1:5">
      <c r="A9" s="158"/>
      <c r="B9" s="133"/>
      <c r="C9" s="113" t="s">
        <v>212</v>
      </c>
      <c r="D9" s="111" t="s">
        <v>211</v>
      </c>
      <c r="E9" s="112">
        <v>0</v>
      </c>
    </row>
    <row r="10" spans="1:5">
      <c r="A10" s="160"/>
      <c r="B10" s="161"/>
      <c r="C10" s="108" t="s">
        <v>197</v>
      </c>
      <c r="D10" s="176"/>
      <c r="E10" s="176"/>
    </row>
    <row r="11" spans="1:5">
      <c r="A11" s="154" t="s">
        <v>16</v>
      </c>
      <c r="B11" s="155" t="s">
        <v>150</v>
      </c>
      <c r="C11" s="114" t="s">
        <v>57</v>
      </c>
      <c r="D11" s="177"/>
      <c r="E11" s="178"/>
    </row>
    <row r="12" spans="1:5" ht="38.25">
      <c r="A12" s="156">
        <f>A7+1</f>
        <v>2</v>
      </c>
      <c r="B12" s="126" t="s">
        <v>170</v>
      </c>
      <c r="C12" s="117" t="s">
        <v>343</v>
      </c>
      <c r="D12" s="174" t="s">
        <v>279</v>
      </c>
      <c r="E12" s="175">
        <f>E13</f>
        <v>6660</v>
      </c>
    </row>
    <row r="13" spans="1:5" ht="27">
      <c r="A13" s="158"/>
      <c r="B13" s="133"/>
      <c r="C13" s="110" t="s">
        <v>224</v>
      </c>
      <c r="D13" s="119" t="s">
        <v>279</v>
      </c>
      <c r="E13" s="120">
        <f>450*14.8</f>
        <v>6660</v>
      </c>
    </row>
    <row r="14" spans="1:5" ht="25.5">
      <c r="A14" s="158"/>
      <c r="B14" s="133"/>
      <c r="C14" s="113" t="s">
        <v>320</v>
      </c>
      <c r="D14" s="119" t="s">
        <v>279</v>
      </c>
      <c r="E14" s="120">
        <v>0</v>
      </c>
    </row>
    <row r="15" spans="1:5" ht="25.5">
      <c r="A15" s="156">
        <f>A12+1</f>
        <v>3</v>
      </c>
      <c r="B15" s="126" t="s">
        <v>169</v>
      </c>
      <c r="C15" s="117" t="s">
        <v>344</v>
      </c>
      <c r="D15" s="174" t="s">
        <v>279</v>
      </c>
      <c r="E15" s="175">
        <v>0</v>
      </c>
    </row>
    <row r="16" spans="1:5">
      <c r="A16" s="158"/>
      <c r="B16" s="133"/>
      <c r="C16" s="197" t="s">
        <v>264</v>
      </c>
      <c r="D16" s="133"/>
      <c r="E16" s="133"/>
    </row>
    <row r="17" spans="1:5">
      <c r="A17" s="154" t="s">
        <v>16</v>
      </c>
      <c r="B17" s="155" t="s">
        <v>150</v>
      </c>
      <c r="C17" s="121" t="s">
        <v>45</v>
      </c>
      <c r="D17" s="177"/>
      <c r="E17" s="178"/>
    </row>
    <row r="18" spans="1:5" ht="25.5">
      <c r="A18" s="156">
        <f>A15+1</f>
        <v>4</v>
      </c>
      <c r="B18" s="126" t="s">
        <v>171</v>
      </c>
      <c r="C18" s="117" t="s">
        <v>268</v>
      </c>
      <c r="D18" s="174" t="s">
        <v>280</v>
      </c>
      <c r="E18" s="175">
        <f>39*14</f>
        <v>546</v>
      </c>
    </row>
    <row r="19" spans="1:5">
      <c r="A19" s="158"/>
      <c r="B19" s="133"/>
      <c r="C19" s="197" t="s">
        <v>227</v>
      </c>
      <c r="D19" s="133"/>
      <c r="E19" s="133"/>
    </row>
    <row r="20" spans="1:5" ht="25.5">
      <c r="A20" s="156">
        <f>A18+1</f>
        <v>5</v>
      </c>
      <c r="B20" s="126" t="s">
        <v>171</v>
      </c>
      <c r="C20" s="117" t="s">
        <v>269</v>
      </c>
      <c r="D20" s="174" t="s">
        <v>280</v>
      </c>
      <c r="E20" s="175">
        <f>11*8</f>
        <v>88</v>
      </c>
    </row>
    <row r="21" spans="1:5">
      <c r="A21" s="158"/>
      <c r="B21" s="133"/>
      <c r="C21" s="197" t="s">
        <v>228</v>
      </c>
      <c r="D21" s="133"/>
      <c r="E21" s="133"/>
    </row>
    <row r="22" spans="1:5">
      <c r="A22" s="154" t="s">
        <v>16</v>
      </c>
      <c r="B22" s="155" t="s">
        <v>166</v>
      </c>
      <c r="C22" s="121" t="s">
        <v>74</v>
      </c>
      <c r="D22" s="177"/>
      <c r="E22" s="178"/>
    </row>
    <row r="23" spans="1:5">
      <c r="A23" s="163"/>
      <c r="B23" s="164"/>
      <c r="C23" s="122" t="s">
        <v>158</v>
      </c>
      <c r="D23" s="179"/>
      <c r="E23" s="180"/>
    </row>
    <row r="24" spans="1:5" ht="14.25">
      <c r="A24" s="156">
        <f>A20+1</f>
        <v>6</v>
      </c>
      <c r="B24" s="126" t="s">
        <v>172</v>
      </c>
      <c r="C24" s="117" t="s">
        <v>160</v>
      </c>
      <c r="D24" s="174" t="s">
        <v>279</v>
      </c>
      <c r="E24" s="175">
        <f>E28+E30+E32</f>
        <v>1018.0899999999999</v>
      </c>
    </row>
    <row r="25" spans="1:5" ht="14.25">
      <c r="A25" s="156">
        <f>A24+1</f>
        <v>7</v>
      </c>
      <c r="B25" s="126" t="s">
        <v>172</v>
      </c>
      <c r="C25" s="117" t="s">
        <v>156</v>
      </c>
      <c r="D25" s="174" t="s">
        <v>279</v>
      </c>
      <c r="E25" s="175">
        <f>E28+E30+E32</f>
        <v>1018.0899999999999</v>
      </c>
    </row>
    <row r="26" spans="1:5" ht="14.25">
      <c r="A26" s="156">
        <f>A25+1</f>
        <v>8</v>
      </c>
      <c r="B26" s="126" t="s">
        <v>172</v>
      </c>
      <c r="C26" s="117" t="s">
        <v>153</v>
      </c>
      <c r="D26" s="174" t="s">
        <v>279</v>
      </c>
      <c r="E26" s="175">
        <f>E28+E30+E32</f>
        <v>1018.0899999999999</v>
      </c>
    </row>
    <row r="27" spans="1:5">
      <c r="A27" s="156">
        <f>A26+1</f>
        <v>9</v>
      </c>
      <c r="B27" s="126" t="s">
        <v>172</v>
      </c>
      <c r="C27" s="117" t="s">
        <v>154</v>
      </c>
      <c r="D27" s="174" t="s">
        <v>22</v>
      </c>
      <c r="E27" s="175">
        <f>E28*262.7+E30*175+E32*175</f>
        <v>230347.25</v>
      </c>
    </row>
    <row r="28" spans="1:5" ht="14.25">
      <c r="A28" s="166"/>
      <c r="B28" s="167"/>
      <c r="C28" s="123" t="s">
        <v>124</v>
      </c>
      <c r="D28" s="119" t="s">
        <v>279</v>
      </c>
      <c r="E28" s="124">
        <f>595</f>
        <v>595</v>
      </c>
    </row>
    <row r="29" spans="1:5" ht="14.25">
      <c r="A29" s="158"/>
      <c r="B29" s="133"/>
      <c r="C29" s="197" t="s">
        <v>229</v>
      </c>
      <c r="D29" s="133"/>
      <c r="E29" s="133"/>
    </row>
    <row r="30" spans="1:5" ht="14.25">
      <c r="A30" s="166"/>
      <c r="B30" s="167"/>
      <c r="C30" s="123" t="s">
        <v>128</v>
      </c>
      <c r="D30" s="119" t="s">
        <v>279</v>
      </c>
      <c r="E30" s="124">
        <f>27*15.67</f>
        <v>423.09</v>
      </c>
    </row>
    <row r="31" spans="1:5">
      <c r="A31" s="166"/>
      <c r="B31" s="133"/>
      <c r="C31" s="197" t="s">
        <v>230</v>
      </c>
      <c r="D31" s="133"/>
      <c r="E31" s="133"/>
    </row>
    <row r="32" spans="1:5" ht="14.25">
      <c r="A32" s="166"/>
      <c r="B32" s="167"/>
      <c r="C32" s="123" t="s">
        <v>125</v>
      </c>
      <c r="D32" s="119" t="s">
        <v>279</v>
      </c>
      <c r="E32" s="124">
        <v>0</v>
      </c>
    </row>
    <row r="33" spans="1:5">
      <c r="A33" s="166"/>
      <c r="B33" s="133"/>
      <c r="C33" s="197" t="s">
        <v>264</v>
      </c>
      <c r="D33" s="133"/>
      <c r="E33" s="133"/>
    </row>
    <row r="34" spans="1:5">
      <c r="A34" s="163"/>
      <c r="B34" s="164"/>
      <c r="C34" s="122" t="s">
        <v>159</v>
      </c>
      <c r="D34" s="179"/>
      <c r="E34" s="180"/>
    </row>
    <row r="35" spans="1:5" ht="14.25">
      <c r="A35" s="156">
        <f>A27+1</f>
        <v>10</v>
      </c>
      <c r="B35" s="126" t="s">
        <v>172</v>
      </c>
      <c r="C35" s="117" t="s">
        <v>161</v>
      </c>
      <c r="D35" s="174" t="s">
        <v>279</v>
      </c>
      <c r="E35" s="175">
        <f>E39</f>
        <v>476.36800000000005</v>
      </c>
    </row>
    <row r="36" spans="1:5" ht="14.25">
      <c r="A36" s="156">
        <f>A35+1</f>
        <v>11</v>
      </c>
      <c r="B36" s="126" t="s">
        <v>172</v>
      </c>
      <c r="C36" s="117" t="s">
        <v>156</v>
      </c>
      <c r="D36" s="174" t="s">
        <v>279</v>
      </c>
      <c r="E36" s="175">
        <f>E39</f>
        <v>476.36800000000005</v>
      </c>
    </row>
    <row r="37" spans="1:5" ht="14.25">
      <c r="A37" s="156">
        <f>A36+1</f>
        <v>12</v>
      </c>
      <c r="B37" s="126" t="s">
        <v>172</v>
      </c>
      <c r="C37" s="117" t="s">
        <v>153</v>
      </c>
      <c r="D37" s="174" t="s">
        <v>279</v>
      </c>
      <c r="E37" s="175">
        <f>E39+E41</f>
        <v>476.36800000000005</v>
      </c>
    </row>
    <row r="38" spans="1:5">
      <c r="A38" s="156">
        <f>A37+1</f>
        <v>13</v>
      </c>
      <c r="B38" s="126" t="s">
        <v>172</v>
      </c>
      <c r="C38" s="117" t="s">
        <v>154</v>
      </c>
      <c r="D38" s="174" t="s">
        <v>22</v>
      </c>
      <c r="E38" s="175">
        <f>E39*155.4</f>
        <v>74027.587200000009</v>
      </c>
    </row>
    <row r="39" spans="1:5" ht="14.25">
      <c r="A39" s="166"/>
      <c r="B39" s="167"/>
      <c r="C39" s="123" t="s">
        <v>129</v>
      </c>
      <c r="D39" s="119" t="s">
        <v>279</v>
      </c>
      <c r="E39" s="124">
        <f>38*15.67*0.8</f>
        <v>476.36800000000005</v>
      </c>
    </row>
    <row r="40" spans="1:5">
      <c r="A40" s="166"/>
      <c r="B40" s="167"/>
      <c r="C40" s="197" t="s">
        <v>231</v>
      </c>
      <c r="D40" s="133"/>
      <c r="E40" s="133"/>
    </row>
    <row r="41" spans="1:5" ht="14.25">
      <c r="A41" s="166"/>
      <c r="B41" s="167"/>
      <c r="C41" s="123" t="s">
        <v>130</v>
      </c>
      <c r="D41" s="119" t="s">
        <v>279</v>
      </c>
      <c r="E41" s="124">
        <v>0</v>
      </c>
    </row>
    <row r="42" spans="1:5">
      <c r="A42" s="154" t="s">
        <v>16</v>
      </c>
      <c r="B42" s="155" t="s">
        <v>150</v>
      </c>
      <c r="C42" s="121" t="s">
        <v>75</v>
      </c>
      <c r="D42" s="115"/>
      <c r="E42" s="116"/>
    </row>
    <row r="43" spans="1:5" ht="25.5">
      <c r="A43" s="156">
        <f>A38+1</f>
        <v>14</v>
      </c>
      <c r="B43" s="126" t="s">
        <v>173</v>
      </c>
      <c r="C43" s="117" t="s">
        <v>270</v>
      </c>
      <c r="D43" s="174" t="s">
        <v>279</v>
      </c>
      <c r="E43" s="175">
        <f>0.5*(0.3+1)*20*28.4*2</f>
        <v>738.4</v>
      </c>
    </row>
    <row r="44" spans="1:5">
      <c r="A44" s="166"/>
      <c r="B44" s="167"/>
      <c r="C44" s="197" t="s">
        <v>250</v>
      </c>
      <c r="D44" s="133"/>
      <c r="E44" s="133"/>
    </row>
    <row r="45" spans="1:5" ht="14.25">
      <c r="A45" s="156">
        <f>A43+1</f>
        <v>15</v>
      </c>
      <c r="B45" s="126" t="s">
        <v>173</v>
      </c>
      <c r="C45" s="117" t="s">
        <v>248</v>
      </c>
      <c r="D45" s="174" t="s">
        <v>279</v>
      </c>
      <c r="E45" s="175">
        <f>0.5*(1.7+1)*20*28.4*2</f>
        <v>1533.6</v>
      </c>
    </row>
    <row r="46" spans="1:5">
      <c r="A46" s="166"/>
      <c r="B46" s="167"/>
      <c r="C46" s="197" t="s">
        <v>251</v>
      </c>
      <c r="D46" s="133"/>
      <c r="E46" s="133"/>
    </row>
    <row r="47" spans="1:5">
      <c r="A47" s="272" t="s">
        <v>204</v>
      </c>
      <c r="B47" s="273"/>
      <c r="C47" s="273"/>
      <c r="D47" s="273"/>
      <c r="E47" s="273"/>
    </row>
    <row r="48" spans="1:5">
      <c r="A48" s="154" t="s">
        <v>16</v>
      </c>
      <c r="B48" s="155" t="s">
        <v>166</v>
      </c>
      <c r="C48" s="121" t="s">
        <v>162</v>
      </c>
      <c r="D48" s="177"/>
      <c r="E48" s="178"/>
    </row>
    <row r="49" spans="1:5" ht="51">
      <c r="A49" s="156">
        <f>A45+1</f>
        <v>16</v>
      </c>
      <c r="B49" s="126" t="s">
        <v>174</v>
      </c>
      <c r="C49" s="125" t="s">
        <v>163</v>
      </c>
      <c r="D49" s="126" t="s">
        <v>22</v>
      </c>
      <c r="E49" s="127">
        <f>E50+E52</f>
        <v>415710.26739130437</v>
      </c>
    </row>
    <row r="50" spans="1:5">
      <c r="A50" s="158"/>
      <c r="B50" s="133"/>
      <c r="C50" s="110" t="s">
        <v>102</v>
      </c>
      <c r="D50" s="119" t="s">
        <v>22</v>
      </c>
      <c r="E50" s="120">
        <f>68814+74956+50.825/138*738372</f>
        <v>415710.26739130437</v>
      </c>
    </row>
    <row r="51" spans="1:5">
      <c r="A51" s="158"/>
      <c r="B51" s="167"/>
      <c r="C51" s="197" t="s">
        <v>253</v>
      </c>
      <c r="D51" s="133"/>
      <c r="E51" s="133"/>
    </row>
    <row r="52" spans="1:5">
      <c r="A52" s="158"/>
      <c r="B52" s="133"/>
      <c r="C52" s="110" t="s">
        <v>103</v>
      </c>
      <c r="D52" s="119" t="s">
        <v>22</v>
      </c>
      <c r="E52" s="120">
        <v>0</v>
      </c>
    </row>
    <row r="53" spans="1:5">
      <c r="A53" s="158"/>
      <c r="B53" s="167"/>
      <c r="C53" s="205" t="s">
        <v>264</v>
      </c>
      <c r="D53" s="158"/>
      <c r="E53" s="167"/>
    </row>
    <row r="54" spans="1:5">
      <c r="A54" s="272" t="s">
        <v>205</v>
      </c>
      <c r="B54" s="273"/>
      <c r="C54" s="273"/>
      <c r="D54" s="273"/>
      <c r="E54" s="273"/>
    </row>
    <row r="55" spans="1:5">
      <c r="A55" s="154" t="s">
        <v>16</v>
      </c>
      <c r="B55" s="155" t="s">
        <v>166</v>
      </c>
      <c r="C55" s="121" t="s">
        <v>24</v>
      </c>
      <c r="D55" s="177"/>
      <c r="E55" s="178"/>
    </row>
    <row r="56" spans="1:5">
      <c r="A56" s="168"/>
      <c r="B56" s="165"/>
      <c r="C56" s="128" t="s">
        <v>271</v>
      </c>
      <c r="D56" s="181"/>
      <c r="E56" s="181"/>
    </row>
    <row r="57" spans="1:5">
      <c r="A57" s="169">
        <f>A49+1</f>
        <v>17</v>
      </c>
      <c r="B57" s="126" t="s">
        <v>175</v>
      </c>
      <c r="C57" s="129" t="s">
        <v>82</v>
      </c>
      <c r="D57" s="130"/>
      <c r="E57" s="127"/>
    </row>
    <row r="58" spans="1:5" ht="14.25">
      <c r="A58" s="158"/>
      <c r="B58" s="133"/>
      <c r="C58" s="131" t="s">
        <v>83</v>
      </c>
      <c r="D58" s="119" t="s">
        <v>279</v>
      </c>
      <c r="E58" s="120">
        <f>E59</f>
        <v>468.62</v>
      </c>
    </row>
    <row r="59" spans="1:5" ht="14.25">
      <c r="A59" s="158"/>
      <c r="B59" s="133"/>
      <c r="C59" s="132" t="s">
        <v>105</v>
      </c>
      <c r="D59" s="119" t="s">
        <v>279</v>
      </c>
      <c r="E59" s="120">
        <f>222.9+245.72</f>
        <v>468.62</v>
      </c>
    </row>
    <row r="60" spans="1:5" ht="14.25">
      <c r="A60" s="158"/>
      <c r="B60" s="133"/>
      <c r="C60" s="197" t="s">
        <v>232</v>
      </c>
      <c r="D60" s="119"/>
      <c r="E60" s="120"/>
    </row>
    <row r="61" spans="1:5" ht="14.25">
      <c r="A61" s="158"/>
      <c r="B61" s="133"/>
      <c r="C61" s="132" t="s">
        <v>109</v>
      </c>
      <c r="D61" s="119" t="s">
        <v>279</v>
      </c>
      <c r="E61" s="120">
        <v>0</v>
      </c>
    </row>
    <row r="62" spans="1:5">
      <c r="A62" s="156">
        <f>A57+1</f>
        <v>18</v>
      </c>
      <c r="B62" s="126" t="s">
        <v>175</v>
      </c>
      <c r="C62" s="129" t="s">
        <v>84</v>
      </c>
      <c r="D62" s="130"/>
      <c r="E62" s="127"/>
    </row>
    <row r="63" spans="1:5" ht="14.25">
      <c r="A63" s="158"/>
      <c r="B63" s="133"/>
      <c r="C63" s="131" t="s">
        <v>83</v>
      </c>
      <c r="D63" s="119" t="s">
        <v>279</v>
      </c>
      <c r="E63" s="120">
        <f>E64+E66</f>
        <v>754.45661231884071</v>
      </c>
    </row>
    <row r="64" spans="1:5" ht="14.25">
      <c r="A64" s="158"/>
      <c r="B64" s="133"/>
      <c r="C64" s="132" t="s">
        <v>104</v>
      </c>
      <c r="D64" s="119" t="s">
        <v>279</v>
      </c>
      <c r="E64" s="120">
        <f>50.825/138*2048.5</f>
        <v>754.45661231884071</v>
      </c>
    </row>
    <row r="65" spans="1:5" ht="14.25">
      <c r="A65" s="158"/>
      <c r="B65" s="133"/>
      <c r="C65" s="197" t="s">
        <v>255</v>
      </c>
      <c r="D65" s="119"/>
      <c r="E65" s="120"/>
    </row>
    <row r="66" spans="1:5" ht="14.25">
      <c r="A66" s="158"/>
      <c r="B66" s="133"/>
      <c r="C66" s="132" t="s">
        <v>108</v>
      </c>
      <c r="D66" s="119" t="s">
        <v>279</v>
      </c>
      <c r="E66" s="120">
        <v>0</v>
      </c>
    </row>
    <row r="67" spans="1:5" ht="14.25">
      <c r="A67" s="158"/>
      <c r="B67" s="133"/>
      <c r="C67" s="197" t="s">
        <v>256</v>
      </c>
      <c r="D67" s="119"/>
      <c r="E67" s="120"/>
    </row>
    <row r="68" spans="1:5">
      <c r="A68" s="156">
        <f>A62+1</f>
        <v>19</v>
      </c>
      <c r="B68" s="126" t="s">
        <v>175</v>
      </c>
      <c r="C68" s="129" t="s">
        <v>86</v>
      </c>
      <c r="D68" s="174"/>
      <c r="E68" s="175"/>
    </row>
    <row r="69" spans="1:5" ht="12.6" customHeight="1">
      <c r="A69" s="158"/>
      <c r="B69" s="133"/>
      <c r="C69" s="131" t="s">
        <v>81</v>
      </c>
      <c r="D69" s="119" t="s">
        <v>279</v>
      </c>
      <c r="E69" s="120">
        <v>0</v>
      </c>
    </row>
    <row r="70" spans="1:5" ht="12.6" customHeight="1">
      <c r="A70" s="158"/>
      <c r="B70" s="133"/>
      <c r="C70" s="197" t="s">
        <v>233</v>
      </c>
      <c r="D70" s="119"/>
      <c r="E70" s="120"/>
    </row>
    <row r="71" spans="1:5">
      <c r="A71" s="156">
        <f>A68+1</f>
        <v>20</v>
      </c>
      <c r="B71" s="126" t="s">
        <v>175</v>
      </c>
      <c r="C71" s="129" t="s">
        <v>87</v>
      </c>
      <c r="D71" s="174"/>
      <c r="E71" s="175"/>
    </row>
    <row r="72" spans="1:5" ht="14.25">
      <c r="A72" s="158"/>
      <c r="B72" s="133"/>
      <c r="C72" s="131" t="s">
        <v>81</v>
      </c>
      <c r="D72" s="119" t="s">
        <v>279</v>
      </c>
      <c r="E72" s="120">
        <f>E73+E75</f>
        <v>21</v>
      </c>
    </row>
    <row r="73" spans="1:5" ht="14.25">
      <c r="A73" s="158"/>
      <c r="B73" s="133"/>
      <c r="C73" s="132" t="s">
        <v>106</v>
      </c>
      <c r="D73" s="119" t="s">
        <v>279</v>
      </c>
      <c r="E73" s="134">
        <f>189*20/180</f>
        <v>21</v>
      </c>
    </row>
    <row r="74" spans="1:5" ht="13.9" customHeight="1">
      <c r="A74" s="158"/>
      <c r="B74" s="133"/>
      <c r="C74" s="197" t="s">
        <v>234</v>
      </c>
      <c r="D74" s="133"/>
      <c r="E74" s="134"/>
    </row>
    <row r="75" spans="1:5" ht="14.25">
      <c r="A75" s="158"/>
      <c r="B75" s="133"/>
      <c r="C75" s="132" t="s">
        <v>107</v>
      </c>
      <c r="D75" s="119" t="s">
        <v>279</v>
      </c>
      <c r="E75" s="134">
        <v>0</v>
      </c>
    </row>
    <row r="76" spans="1:5" ht="14.25">
      <c r="A76" s="158"/>
      <c r="B76" s="133"/>
      <c r="C76" s="197" t="s">
        <v>235</v>
      </c>
      <c r="D76" s="133"/>
      <c r="E76" s="134"/>
    </row>
    <row r="77" spans="1:5">
      <c r="A77" s="154" t="s">
        <v>16</v>
      </c>
      <c r="B77" s="155" t="s">
        <v>166</v>
      </c>
      <c r="C77" s="121" t="s">
        <v>258</v>
      </c>
      <c r="D77" s="177"/>
      <c r="E77" s="178"/>
    </row>
    <row r="78" spans="1:5">
      <c r="A78" s="156">
        <f>A71+1</f>
        <v>21</v>
      </c>
      <c r="B78" s="126" t="s">
        <v>175</v>
      </c>
      <c r="C78" s="135" t="s">
        <v>259</v>
      </c>
      <c r="D78" s="174"/>
      <c r="E78" s="175"/>
    </row>
    <row r="79" spans="1:5">
      <c r="A79" s="156"/>
      <c r="B79" s="126"/>
      <c r="C79" s="135" t="s">
        <v>261</v>
      </c>
      <c r="D79" s="174"/>
      <c r="E79" s="175"/>
    </row>
    <row r="80" spans="1:5" ht="14.25">
      <c r="A80" s="166"/>
      <c r="B80" s="167"/>
      <c r="C80" s="123" t="s">
        <v>262</v>
      </c>
      <c r="D80" s="119" t="s">
        <v>279</v>
      </c>
      <c r="E80" s="124">
        <f>31.205*16.8*0.1</f>
        <v>52.424400000000006</v>
      </c>
    </row>
    <row r="81" spans="1:6">
      <c r="A81" s="166"/>
      <c r="B81" s="167"/>
      <c r="C81" s="206" t="s">
        <v>265</v>
      </c>
      <c r="D81" s="142"/>
      <c r="E81" s="124"/>
    </row>
    <row r="82" spans="1:6" ht="14.25">
      <c r="A82" s="166"/>
      <c r="B82" s="167"/>
      <c r="C82" s="123" t="s">
        <v>263</v>
      </c>
      <c r="D82" s="119" t="s">
        <v>279</v>
      </c>
      <c r="E82" s="124">
        <v>0</v>
      </c>
    </row>
    <row r="83" spans="1:6">
      <c r="A83" s="166"/>
      <c r="B83" s="167"/>
      <c r="C83" s="206" t="s">
        <v>264</v>
      </c>
      <c r="D83" s="142"/>
      <c r="E83" s="124"/>
    </row>
    <row r="84" spans="1:6">
      <c r="A84" s="156"/>
      <c r="B84" s="126"/>
      <c r="C84" s="135" t="s">
        <v>260</v>
      </c>
      <c r="D84" s="174"/>
      <c r="E84" s="175"/>
    </row>
    <row r="85" spans="1:6" ht="14.25">
      <c r="A85" s="166"/>
      <c r="B85" s="167"/>
      <c r="C85" s="123" t="s">
        <v>262</v>
      </c>
      <c r="D85" s="119" t="s">
        <v>279</v>
      </c>
      <c r="E85" s="124">
        <f>137*14.8*0.24*50.825/138</f>
        <v>179.2222086956522</v>
      </c>
    </row>
    <row r="86" spans="1:6">
      <c r="A86" s="166"/>
      <c r="B86" s="167"/>
      <c r="C86" s="206" t="s">
        <v>267</v>
      </c>
      <c r="D86" s="142"/>
      <c r="E86" s="124"/>
    </row>
    <row r="87" spans="1:6" ht="14.25">
      <c r="A87" s="166"/>
      <c r="B87" s="167"/>
      <c r="C87" s="123" t="s">
        <v>263</v>
      </c>
      <c r="D87" s="119" t="s">
        <v>279</v>
      </c>
      <c r="E87" s="124">
        <v>0</v>
      </c>
    </row>
    <row r="88" spans="1:6">
      <c r="A88" s="166"/>
      <c r="B88" s="167"/>
      <c r="C88" s="206" t="s">
        <v>266</v>
      </c>
      <c r="D88" s="142"/>
      <c r="E88" s="124"/>
    </row>
    <row r="89" spans="1:6">
      <c r="A89" s="154" t="s">
        <v>16</v>
      </c>
      <c r="B89" s="155" t="s">
        <v>166</v>
      </c>
      <c r="C89" s="121" t="s">
        <v>25</v>
      </c>
      <c r="D89" s="177"/>
      <c r="E89" s="178"/>
    </row>
    <row r="90" spans="1:6">
      <c r="A90" s="156">
        <f>A78+1</f>
        <v>22</v>
      </c>
      <c r="B90" s="126" t="s">
        <v>176</v>
      </c>
      <c r="C90" s="135" t="s">
        <v>257</v>
      </c>
      <c r="D90" s="174"/>
      <c r="E90" s="175"/>
    </row>
    <row r="91" spans="1:6" ht="14.25">
      <c r="A91" s="158"/>
      <c r="B91" s="133"/>
      <c r="C91" s="136" t="s">
        <v>110</v>
      </c>
      <c r="D91" s="119" t="s">
        <v>279</v>
      </c>
      <c r="E91" s="120">
        <f>E92+E94</f>
        <v>112.01388043478262</v>
      </c>
    </row>
    <row r="92" spans="1:6" ht="12.6" customHeight="1">
      <c r="A92" s="158"/>
      <c r="B92" s="133"/>
      <c r="C92" s="132" t="s">
        <v>111</v>
      </c>
      <c r="D92" s="119" t="s">
        <v>279</v>
      </c>
      <c r="E92" s="120">
        <f>137*14.8*0.15*50.825/138</f>
        <v>112.01388043478262</v>
      </c>
    </row>
    <row r="93" spans="1:6">
      <c r="A93" s="158"/>
      <c r="B93" s="133"/>
      <c r="C93" s="197" t="s">
        <v>277</v>
      </c>
      <c r="D93" s="111"/>
      <c r="E93" s="111"/>
      <c r="F93" s="207"/>
    </row>
    <row r="94" spans="1:6" ht="12.6" customHeight="1">
      <c r="A94" s="158"/>
      <c r="B94" s="133"/>
      <c r="C94" s="132" t="s">
        <v>112</v>
      </c>
      <c r="D94" s="119" t="s">
        <v>279</v>
      </c>
      <c r="E94" s="120">
        <v>0</v>
      </c>
    </row>
    <row r="95" spans="1:6">
      <c r="A95" s="158"/>
      <c r="B95" s="133"/>
      <c r="C95" s="197" t="s">
        <v>264</v>
      </c>
      <c r="D95" s="111"/>
      <c r="E95" s="111"/>
      <c r="F95" s="207"/>
    </row>
    <row r="96" spans="1:6">
      <c r="A96" s="272" t="s">
        <v>206</v>
      </c>
      <c r="B96" s="273"/>
      <c r="C96" s="273"/>
      <c r="D96" s="273"/>
      <c r="E96" s="273"/>
    </row>
    <row r="97" spans="1:5" ht="12.6" customHeight="1">
      <c r="A97" s="154" t="s">
        <v>16</v>
      </c>
      <c r="B97" s="155" t="s">
        <v>166</v>
      </c>
      <c r="C97" s="121" t="s">
        <v>48</v>
      </c>
      <c r="D97" s="177"/>
      <c r="E97" s="178"/>
    </row>
    <row r="98" spans="1:5">
      <c r="A98" s="156">
        <f>A90+1</f>
        <v>23</v>
      </c>
      <c r="B98" s="126" t="s">
        <v>177</v>
      </c>
      <c r="C98" s="129" t="s">
        <v>49</v>
      </c>
      <c r="D98" s="174" t="s">
        <v>30</v>
      </c>
      <c r="E98" s="175">
        <f>E99+E101</f>
        <v>57.14</v>
      </c>
    </row>
    <row r="99" spans="1:5">
      <c r="A99" s="158"/>
      <c r="B99" s="133"/>
      <c r="C99" s="132" t="s">
        <v>131</v>
      </c>
      <c r="D99" s="119" t="s">
        <v>30</v>
      </c>
      <c r="E99" s="120">
        <f>8.3*2+4.6*2+15.67*2</f>
        <v>57.14</v>
      </c>
    </row>
    <row r="100" spans="1:5">
      <c r="A100" s="158"/>
      <c r="B100" s="133"/>
      <c r="C100" s="197" t="s">
        <v>236</v>
      </c>
      <c r="D100" s="119"/>
      <c r="E100" s="120"/>
    </row>
    <row r="101" spans="1:5">
      <c r="A101" s="158"/>
      <c r="B101" s="133"/>
      <c r="C101" s="132" t="s">
        <v>132</v>
      </c>
      <c r="D101" s="119" t="s">
        <v>30</v>
      </c>
      <c r="E101" s="120">
        <v>0</v>
      </c>
    </row>
    <row r="102" spans="1:5">
      <c r="A102" s="198"/>
      <c r="B102" s="133"/>
      <c r="C102" s="197" t="s">
        <v>237</v>
      </c>
      <c r="D102" s="199"/>
      <c r="E102" s="200"/>
    </row>
    <row r="103" spans="1:5">
      <c r="A103" s="272" t="s">
        <v>207</v>
      </c>
      <c r="B103" s="273"/>
      <c r="C103" s="273"/>
      <c r="D103" s="273"/>
      <c r="E103" s="273"/>
    </row>
    <row r="104" spans="1:5">
      <c r="A104" s="154" t="s">
        <v>16</v>
      </c>
      <c r="B104" s="155" t="s">
        <v>166</v>
      </c>
      <c r="C104" s="121" t="s">
        <v>213</v>
      </c>
      <c r="D104" s="115"/>
      <c r="E104" s="116"/>
    </row>
    <row r="105" spans="1:5" ht="14.25">
      <c r="A105" s="156">
        <f>A98+1</f>
        <v>24</v>
      </c>
      <c r="B105" s="126" t="s">
        <v>214</v>
      </c>
      <c r="C105" s="129" t="s">
        <v>272</v>
      </c>
      <c r="D105" s="182" t="s">
        <v>280</v>
      </c>
      <c r="E105" s="183"/>
    </row>
    <row r="106" spans="1:5" ht="14.25">
      <c r="A106" s="132"/>
      <c r="B106" s="132"/>
      <c r="C106" s="132" t="s">
        <v>216</v>
      </c>
      <c r="D106" s="184" t="s">
        <v>280</v>
      </c>
      <c r="E106" s="120">
        <f>51*15</f>
        <v>765</v>
      </c>
    </row>
    <row r="107" spans="1:5">
      <c r="A107" s="132"/>
      <c r="B107" s="132"/>
      <c r="C107" s="197" t="s">
        <v>238</v>
      </c>
      <c r="D107" s="184"/>
      <c r="E107" s="120"/>
    </row>
    <row r="108" spans="1:5" ht="14.25">
      <c r="A108" s="132"/>
      <c r="B108" s="132"/>
      <c r="C108" s="132" t="s">
        <v>217</v>
      </c>
      <c r="D108" s="184" t="s">
        <v>280</v>
      </c>
      <c r="E108" s="120">
        <v>0</v>
      </c>
    </row>
    <row r="109" spans="1:5">
      <c r="A109" s="201"/>
      <c r="B109" s="132"/>
      <c r="C109" s="197" t="s">
        <v>264</v>
      </c>
      <c r="D109" s="184"/>
      <c r="E109" s="120"/>
    </row>
    <row r="110" spans="1:5">
      <c r="A110" s="156">
        <f>A105+1</f>
        <v>25</v>
      </c>
      <c r="B110" s="126" t="s">
        <v>178</v>
      </c>
      <c r="C110" s="129" t="s">
        <v>218</v>
      </c>
      <c r="D110" s="130"/>
      <c r="E110" s="127"/>
    </row>
    <row r="111" spans="1:5" ht="14.25">
      <c r="A111" s="158"/>
      <c r="B111" s="133"/>
      <c r="C111" s="137" t="s">
        <v>219</v>
      </c>
      <c r="D111" s="184" t="s">
        <v>280</v>
      </c>
      <c r="E111" s="120">
        <v>640</v>
      </c>
    </row>
    <row r="112" spans="1:5">
      <c r="A112" s="158"/>
      <c r="B112" s="133"/>
      <c r="C112" s="197" t="s">
        <v>240</v>
      </c>
      <c r="D112" s="202"/>
      <c r="E112" s="203"/>
    </row>
    <row r="113" spans="1:5" ht="25.5">
      <c r="A113" s="156">
        <f>A110+1</f>
        <v>26</v>
      </c>
      <c r="B113" s="126" t="s">
        <v>220</v>
      </c>
      <c r="C113" s="138" t="s">
        <v>274</v>
      </c>
      <c r="D113" s="139"/>
      <c r="E113" s="140"/>
    </row>
    <row r="114" spans="1:5" ht="14.25">
      <c r="A114" s="158"/>
      <c r="B114" s="133"/>
      <c r="C114" s="132" t="s">
        <v>222</v>
      </c>
      <c r="D114" s="184" t="s">
        <v>280</v>
      </c>
      <c r="E114" s="120">
        <f>51*15</f>
        <v>765</v>
      </c>
    </row>
    <row r="115" spans="1:5">
      <c r="A115" s="158"/>
      <c r="B115" s="133"/>
      <c r="C115" s="197" t="s">
        <v>238</v>
      </c>
      <c r="D115" s="119"/>
      <c r="E115" s="120"/>
    </row>
    <row r="116" spans="1:5" ht="14.25">
      <c r="A116" s="158"/>
      <c r="B116" s="133"/>
      <c r="C116" s="132" t="s">
        <v>223</v>
      </c>
      <c r="D116" s="184" t="s">
        <v>280</v>
      </c>
      <c r="E116" s="120">
        <v>0</v>
      </c>
    </row>
    <row r="117" spans="1:5">
      <c r="A117" s="198"/>
      <c r="B117" s="133"/>
      <c r="C117" s="197" t="s">
        <v>264</v>
      </c>
      <c r="D117" s="202"/>
      <c r="E117" s="203"/>
    </row>
    <row r="118" spans="1:5">
      <c r="A118" s="274" t="s">
        <v>208</v>
      </c>
      <c r="B118" s="275"/>
      <c r="C118" s="275"/>
      <c r="D118" s="275"/>
      <c r="E118" s="275"/>
    </row>
    <row r="119" spans="1:5">
      <c r="A119" s="154" t="s">
        <v>16</v>
      </c>
      <c r="B119" s="162" t="s">
        <v>166</v>
      </c>
      <c r="C119" s="114" t="s">
        <v>31</v>
      </c>
      <c r="D119" s="185"/>
      <c r="E119" s="185"/>
    </row>
    <row r="120" spans="1:5" ht="25.5">
      <c r="A120" s="156">
        <f>A113+1</f>
        <v>27</v>
      </c>
      <c r="B120" s="126" t="s">
        <v>179</v>
      </c>
      <c r="C120" s="129" t="s">
        <v>345</v>
      </c>
      <c r="D120" s="182" t="s">
        <v>280</v>
      </c>
      <c r="E120" s="175">
        <f>E121+E123</f>
        <v>615</v>
      </c>
    </row>
    <row r="121" spans="1:5" ht="14.25">
      <c r="A121" s="166"/>
      <c r="B121" s="167"/>
      <c r="C121" s="141" t="s">
        <v>113</v>
      </c>
      <c r="D121" s="184" t="s">
        <v>280</v>
      </c>
      <c r="E121" s="124">
        <f>200+140+110+165</f>
        <v>615</v>
      </c>
    </row>
    <row r="122" spans="1:5" ht="14.25">
      <c r="A122" s="166"/>
      <c r="B122" s="167"/>
      <c r="C122" s="197" t="s">
        <v>241</v>
      </c>
      <c r="D122" s="142"/>
      <c r="E122" s="124"/>
    </row>
    <row r="123" spans="1:5" ht="14.25">
      <c r="A123" s="166"/>
      <c r="B123" s="167"/>
      <c r="C123" s="141" t="s">
        <v>114</v>
      </c>
      <c r="D123" s="184" t="s">
        <v>280</v>
      </c>
      <c r="E123" s="124">
        <v>0</v>
      </c>
    </row>
    <row r="124" spans="1:5">
      <c r="A124" s="166"/>
      <c r="B124" s="167"/>
      <c r="C124" s="197" t="s">
        <v>264</v>
      </c>
      <c r="D124" s="142"/>
      <c r="E124" s="124"/>
    </row>
    <row r="125" spans="1:5" s="91" customFormat="1">
      <c r="A125" s="169">
        <f>A120+1</f>
        <v>28</v>
      </c>
      <c r="B125" s="157" t="s">
        <v>180</v>
      </c>
      <c r="C125" s="117" t="s">
        <v>133</v>
      </c>
      <c r="D125" s="157" t="s">
        <v>30</v>
      </c>
      <c r="E125" s="186">
        <f>55*4+2*17</f>
        <v>254</v>
      </c>
    </row>
    <row r="126" spans="1:5">
      <c r="A126" s="166"/>
      <c r="B126" s="167"/>
      <c r="C126" s="143" t="s">
        <v>135</v>
      </c>
      <c r="D126" s="142" t="s">
        <v>30</v>
      </c>
      <c r="E126" s="124">
        <f>17.5*2</f>
        <v>35</v>
      </c>
    </row>
    <row r="127" spans="1:5">
      <c r="A127" s="166"/>
      <c r="B127" s="167"/>
      <c r="C127" s="197" t="s">
        <v>243</v>
      </c>
      <c r="D127" s="142"/>
      <c r="E127" s="124"/>
    </row>
    <row r="128" spans="1:5">
      <c r="A128" s="166"/>
      <c r="B128" s="167"/>
      <c r="C128" s="144" t="s">
        <v>134</v>
      </c>
      <c r="D128" s="142" t="s">
        <v>30</v>
      </c>
      <c r="E128" s="124">
        <v>0</v>
      </c>
    </row>
    <row r="129" spans="1:5">
      <c r="A129" s="166"/>
      <c r="B129" s="167"/>
      <c r="C129" s="197" t="s">
        <v>264</v>
      </c>
      <c r="D129" s="142"/>
      <c r="E129" s="124"/>
    </row>
    <row r="130" spans="1:5" s="91" customFormat="1">
      <c r="A130" s="169">
        <f>A125+1</f>
        <v>29</v>
      </c>
      <c r="B130" s="157" t="s">
        <v>181</v>
      </c>
      <c r="C130" s="117" t="s">
        <v>43</v>
      </c>
      <c r="D130" s="157" t="s">
        <v>20</v>
      </c>
      <c r="E130" s="186">
        <f>E131+E132</f>
        <v>46</v>
      </c>
    </row>
    <row r="131" spans="1:5" s="91" customFormat="1">
      <c r="A131" s="166"/>
      <c r="B131" s="167"/>
      <c r="C131" s="143" t="s">
        <v>135</v>
      </c>
      <c r="D131" s="111" t="s">
        <v>20</v>
      </c>
      <c r="E131" s="112">
        <f>TRUNC((E126)/1.5*2)</f>
        <v>46</v>
      </c>
    </row>
    <row r="132" spans="1:5" s="91" customFormat="1">
      <c r="A132" s="166"/>
      <c r="B132" s="167"/>
      <c r="C132" s="144" t="s">
        <v>134</v>
      </c>
      <c r="D132" s="111" t="s">
        <v>20</v>
      </c>
      <c r="E132" s="112">
        <f>TRUNC((E128)/1.5*2)</f>
        <v>0</v>
      </c>
    </row>
    <row r="133" spans="1:5" s="91" customFormat="1">
      <c r="A133" s="276" t="s">
        <v>209</v>
      </c>
      <c r="B133" s="277"/>
      <c r="C133" s="277"/>
      <c r="D133" s="277"/>
      <c r="E133" s="277"/>
    </row>
    <row r="134" spans="1:5" s="91" customFormat="1">
      <c r="A134" s="154" t="s">
        <v>16</v>
      </c>
      <c r="B134" s="162" t="s">
        <v>166</v>
      </c>
      <c r="C134" s="114" t="s">
        <v>32</v>
      </c>
      <c r="D134" s="145"/>
      <c r="E134" s="145"/>
    </row>
    <row r="135" spans="1:5" s="91" customFormat="1">
      <c r="A135" s="156" t="s">
        <v>16</v>
      </c>
      <c r="B135" s="126"/>
      <c r="C135" s="146" t="s">
        <v>32</v>
      </c>
      <c r="D135" s="187"/>
      <c r="E135" s="187"/>
    </row>
    <row r="136" spans="1:5" ht="14.25">
      <c r="A136" s="158"/>
      <c r="B136" s="133"/>
      <c r="C136" s="131" t="s">
        <v>37</v>
      </c>
      <c r="D136" s="184" t="s">
        <v>280</v>
      </c>
      <c r="E136" s="120">
        <v>0</v>
      </c>
    </row>
    <row r="137" spans="1:5">
      <c r="A137" s="166"/>
      <c r="B137" s="167"/>
      <c r="C137" s="197" t="s">
        <v>240</v>
      </c>
      <c r="D137" s="142"/>
      <c r="E137" s="124"/>
    </row>
    <row r="138" spans="1:5" s="92" customFormat="1">
      <c r="A138" s="169">
        <f>A130+1</f>
        <v>30</v>
      </c>
      <c r="B138" s="157" t="s">
        <v>186</v>
      </c>
      <c r="C138" s="117" t="s">
        <v>92</v>
      </c>
      <c r="D138" s="157"/>
      <c r="E138" s="157"/>
    </row>
    <row r="139" spans="1:5" s="86" customFormat="1">
      <c r="A139" s="166"/>
      <c r="B139" s="167"/>
      <c r="C139" s="147" t="s">
        <v>93</v>
      </c>
      <c r="D139" s="142" t="s">
        <v>30</v>
      </c>
      <c r="E139" s="124">
        <v>0</v>
      </c>
    </row>
    <row r="140" spans="1:5" s="86" customFormat="1">
      <c r="A140" s="166"/>
      <c r="B140" s="167"/>
      <c r="C140" s="197" t="s">
        <v>245</v>
      </c>
      <c r="D140" s="204"/>
      <c r="E140" s="124"/>
    </row>
    <row r="141" spans="1:5" s="92" customFormat="1">
      <c r="A141" s="169">
        <f>A138+1</f>
        <v>31</v>
      </c>
      <c r="B141" s="157" t="s">
        <v>167</v>
      </c>
      <c r="C141" s="117" t="s">
        <v>341</v>
      </c>
      <c r="D141" s="247" t="s">
        <v>30</v>
      </c>
      <c r="E141" s="236"/>
    </row>
    <row r="142" spans="1:5" s="92" customFormat="1">
      <c r="A142" s="169">
        <f>A141+1</f>
        <v>32</v>
      </c>
      <c r="B142" s="157" t="s">
        <v>185</v>
      </c>
      <c r="C142" s="117" t="s">
        <v>95</v>
      </c>
      <c r="D142" s="248"/>
      <c r="E142" s="126"/>
    </row>
    <row r="143" spans="1:5">
      <c r="A143" s="158"/>
      <c r="B143" s="133"/>
      <c r="C143" s="131" t="s">
        <v>145</v>
      </c>
      <c r="D143" s="119" t="s">
        <v>39</v>
      </c>
      <c r="E143" s="120">
        <f>85+65</f>
        <v>150</v>
      </c>
    </row>
    <row r="144" spans="1:5">
      <c r="A144" s="158"/>
      <c r="B144" s="133"/>
      <c r="C144" s="197" t="s">
        <v>322</v>
      </c>
      <c r="D144" s="119"/>
      <c r="E144" s="120"/>
    </row>
    <row r="145" spans="1:6">
      <c r="A145" s="158"/>
      <c r="B145" s="133"/>
      <c r="C145" s="131" t="s">
        <v>144</v>
      </c>
      <c r="D145" s="119" t="s">
        <v>39</v>
      </c>
      <c r="E145" s="120">
        <f>(137*6+8*13.8+8)*50.8/138</f>
        <v>346.17623188405798</v>
      </c>
    </row>
    <row r="146" spans="1:6">
      <c r="A146" s="158"/>
      <c r="B146" s="133"/>
      <c r="C146" s="197" t="s">
        <v>246</v>
      </c>
      <c r="D146" s="119"/>
      <c r="E146" s="120"/>
    </row>
    <row r="147" spans="1:6">
      <c r="A147" s="158"/>
      <c r="B147" s="133"/>
      <c r="C147" s="131" t="s">
        <v>146</v>
      </c>
      <c r="D147" s="119" t="s">
        <v>39</v>
      </c>
      <c r="E147" s="120">
        <v>0</v>
      </c>
    </row>
    <row r="148" spans="1:6">
      <c r="A148" s="158"/>
      <c r="B148" s="133"/>
      <c r="C148" s="197" t="s">
        <v>264</v>
      </c>
      <c r="D148" s="119"/>
      <c r="E148" s="120"/>
    </row>
    <row r="149" spans="1:6" s="91" customFormat="1">
      <c r="A149" s="169">
        <f>A142+1</f>
        <v>33</v>
      </c>
      <c r="B149" s="157" t="s">
        <v>184</v>
      </c>
      <c r="C149" s="117" t="s">
        <v>52</v>
      </c>
      <c r="D149" s="126"/>
      <c r="E149" s="126"/>
    </row>
    <row r="150" spans="1:6">
      <c r="A150" s="158"/>
      <c r="B150" s="133"/>
      <c r="C150" s="131" t="s">
        <v>33</v>
      </c>
      <c r="D150" s="119" t="s">
        <v>20</v>
      </c>
      <c r="E150" s="120">
        <v>12</v>
      </c>
    </row>
    <row r="151" spans="1:6">
      <c r="A151" s="166"/>
      <c r="B151" s="167"/>
      <c r="C151" s="148" t="s">
        <v>34</v>
      </c>
      <c r="D151" s="190" t="s">
        <v>20</v>
      </c>
      <c r="E151" s="191">
        <v>1</v>
      </c>
    </row>
    <row r="152" spans="1:6" s="84" customFormat="1">
      <c r="A152" s="169">
        <f>A149+1</f>
        <v>34</v>
      </c>
      <c r="B152" s="157" t="s">
        <v>183</v>
      </c>
      <c r="C152" s="117" t="s">
        <v>276</v>
      </c>
      <c r="D152" s="126" t="s">
        <v>23</v>
      </c>
      <c r="E152" s="187">
        <v>0.5</v>
      </c>
      <c r="F152" s="83"/>
    </row>
    <row r="153" spans="1:6" s="84" customFormat="1" ht="26.25" thickBot="1">
      <c r="A153" s="170">
        <f>A152+1</f>
        <v>35</v>
      </c>
      <c r="B153" s="171" t="s">
        <v>182</v>
      </c>
      <c r="C153" s="149" t="s">
        <v>346</v>
      </c>
      <c r="D153" s="249" t="s">
        <v>23</v>
      </c>
      <c r="E153" s="250">
        <v>0.5</v>
      </c>
      <c r="F153" s="91"/>
    </row>
    <row r="154" spans="1:6">
      <c r="A154" s="150"/>
      <c r="B154" s="150"/>
      <c r="C154" s="194"/>
      <c r="D154" s="194"/>
      <c r="E154" s="118"/>
    </row>
    <row r="155" spans="1:6">
      <c r="A155" s="150"/>
      <c r="B155" s="150"/>
      <c r="E155" s="118"/>
    </row>
    <row r="156" spans="1:6" ht="13.9" hidden="1" customHeight="1" thickBot="1">
      <c r="A156" s="150"/>
      <c r="B156" s="150"/>
      <c r="C156" s="152" t="s">
        <v>115</v>
      </c>
      <c r="D156" s="243" t="s">
        <v>116</v>
      </c>
      <c r="E156" s="244"/>
    </row>
    <row r="157" spans="1:6" ht="13.15" hidden="1" customHeight="1">
      <c r="A157" s="150"/>
      <c r="B157" s="150"/>
      <c r="C157" s="195" t="s">
        <v>126</v>
      </c>
      <c r="D157" s="245" t="e">
        <f>#REF!+#REF!+#REF!+#REF!+#REF!+#REF!+#REF!+#REF!+#REF!+#REF!+#REF!+#REF!+#REF!+#REF!+#REF!+#REF!+#REF!+#REF!+#REF!+#REF!+#REF!+#REF!+#REF!+#REF!+#REF!+#REF!+#REF!+#REF!</f>
        <v>#REF!</v>
      </c>
      <c r="E157" s="246"/>
    </row>
    <row r="158" spans="1:6" ht="13.9" hidden="1" customHeight="1" thickBot="1">
      <c r="A158" s="150"/>
      <c r="B158" s="150"/>
      <c r="C158" s="196" t="s">
        <v>101</v>
      </c>
      <c r="D158" s="239" t="e">
        <f>#REF!+#REF!+#REF!+#REF!+#REF!+#REF!+#REF!+#REF!+#REF!+#REF!+#REF!+#REF!+#REF!++#REF!+#REF!+#REF!+#REF!+#REF!+#REF!+#REF!+#REF!+#REF!</f>
        <v>#REF!</v>
      </c>
      <c r="E158" s="240"/>
    </row>
    <row r="159" spans="1:6" ht="13.9" hidden="1" customHeight="1" thickBot="1">
      <c r="C159" s="153"/>
      <c r="D159" s="241" t="e">
        <f>D157+D158</f>
        <v>#REF!</v>
      </c>
      <c r="E159" s="242"/>
    </row>
    <row r="160" spans="1:6" ht="13.15" hidden="1" customHeight="1">
      <c r="A160" s="98" t="s">
        <v>36</v>
      </c>
      <c r="B160" s="93"/>
    </row>
    <row r="161" ht="12.6" hidden="1" customHeight="1"/>
  </sheetData>
  <mergeCells count="8">
    <mergeCell ref="A103:E103"/>
    <mergeCell ref="A118:E118"/>
    <mergeCell ref="A133:E133"/>
    <mergeCell ref="A96:E96"/>
    <mergeCell ref="A1:E1"/>
    <mergeCell ref="A2:E2"/>
    <mergeCell ref="A47:E47"/>
    <mergeCell ref="A54:E54"/>
  </mergeCells>
  <pageMargins left="0.25" right="0.25" top="0.75" bottom="0.75" header="0.3" footer="0.3"/>
  <pageSetup paperSize="9" scale="85" fitToHeight="0" orientation="portrait" r:id="rId1"/>
  <headerFooter alignWithMargins="0">
    <oddHeader>&amp;R2. Branża Konstrukcyjna- Mostowa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84763-821E-4AA9-B978-647E5E4512C8}">
  <sheetPr>
    <tabColor theme="6" tint="0.59999389629810485"/>
  </sheetPr>
  <dimension ref="A1:G160"/>
  <sheetViews>
    <sheetView view="pageLayout" topLeftCell="A22" zoomScaleNormal="115" zoomScaleSheetLayoutView="115" workbookViewId="0">
      <selection activeCell="B3" sqref="B3"/>
    </sheetView>
  </sheetViews>
  <sheetFormatPr defaultColWidth="9.140625" defaultRowHeight="12.75"/>
  <cols>
    <col min="1" max="1" width="4.140625" style="84" customWidth="1"/>
    <col min="2" max="2" width="16.42578125" style="84" customWidth="1"/>
    <col min="3" max="3" width="16.140625" style="97" hidden="1" customWidth="1"/>
    <col min="4" max="4" width="79.85546875" style="83" customWidth="1"/>
    <col min="5" max="5" width="7.42578125" style="83" customWidth="1"/>
    <col min="6" max="6" width="10.7109375" style="85" customWidth="1"/>
    <col min="7" max="7" width="15" style="83" customWidth="1"/>
    <col min="8" max="8" width="14.140625" style="83" customWidth="1"/>
    <col min="9" max="9" width="7" style="83" customWidth="1"/>
    <col min="10" max="10" width="9.5703125" style="83" customWidth="1"/>
    <col min="11" max="11" width="20.28515625" style="83" customWidth="1"/>
    <col min="12" max="16384" width="9.140625" style="83"/>
  </cols>
  <sheetData>
    <row r="1" spans="1:6" ht="53.25" customHeight="1">
      <c r="A1" s="270" t="s">
        <v>127</v>
      </c>
      <c r="B1" s="270"/>
      <c r="C1" s="270"/>
      <c r="D1" s="270"/>
      <c r="E1" s="270"/>
      <c r="F1" s="270"/>
    </row>
    <row r="2" spans="1:6" ht="40.9" customHeight="1" thickBot="1">
      <c r="A2" s="271" t="s">
        <v>339</v>
      </c>
      <c r="B2" s="271"/>
      <c r="C2" s="271"/>
      <c r="D2" s="271"/>
      <c r="E2" s="271"/>
      <c r="F2" s="271"/>
    </row>
    <row r="3" spans="1:6" ht="13.5" thickBot="1">
      <c r="A3" s="99" t="s">
        <v>0</v>
      </c>
      <c r="B3" s="100" t="s">
        <v>319</v>
      </c>
      <c r="C3" s="100" t="s">
        <v>137</v>
      </c>
      <c r="D3" s="101" t="s">
        <v>7</v>
      </c>
      <c r="E3" s="101" t="s">
        <v>8</v>
      </c>
      <c r="F3" s="102" t="s">
        <v>9</v>
      </c>
    </row>
    <row r="4" spans="1:6">
      <c r="A4" s="103" t="s">
        <v>198</v>
      </c>
      <c r="B4" s="104" t="s">
        <v>199</v>
      </c>
      <c r="C4" s="103" t="s">
        <v>198</v>
      </c>
      <c r="D4" s="104" t="s">
        <v>200</v>
      </c>
      <c r="E4" s="104" t="s">
        <v>201</v>
      </c>
      <c r="F4" s="105" t="s">
        <v>202</v>
      </c>
    </row>
    <row r="5" spans="1:6">
      <c r="A5" s="106"/>
      <c r="B5" s="107"/>
      <c r="C5" s="108"/>
      <c r="D5" s="108" t="s">
        <v>196</v>
      </c>
      <c r="E5" s="107"/>
      <c r="F5" s="107"/>
    </row>
    <row r="6" spans="1:6">
      <c r="A6" s="154" t="s">
        <v>16</v>
      </c>
      <c r="B6" s="155" t="s">
        <v>149</v>
      </c>
      <c r="C6" s="155" t="s">
        <v>149</v>
      </c>
      <c r="D6" s="109" t="s">
        <v>17</v>
      </c>
      <c r="E6" s="172"/>
      <c r="F6" s="173"/>
    </row>
    <row r="7" spans="1:6" ht="38.25">
      <c r="A7" s="156">
        <v>1</v>
      </c>
      <c r="B7" s="126" t="s">
        <v>168</v>
      </c>
      <c r="C7" s="157" t="s">
        <v>278</v>
      </c>
      <c r="D7" s="117" t="s">
        <v>342</v>
      </c>
      <c r="E7" s="174" t="s">
        <v>30</v>
      </c>
      <c r="F7" s="175">
        <f>F8+F9</f>
        <v>100</v>
      </c>
    </row>
    <row r="8" spans="1:6">
      <c r="A8" s="158"/>
      <c r="B8" s="133"/>
      <c r="C8" s="159"/>
      <c r="D8" s="110" t="s">
        <v>210</v>
      </c>
      <c r="E8" s="111" t="s">
        <v>211</v>
      </c>
      <c r="F8" s="112">
        <v>0</v>
      </c>
    </row>
    <row r="9" spans="1:6">
      <c r="A9" s="158"/>
      <c r="B9" s="133"/>
      <c r="C9" s="159"/>
      <c r="D9" s="113" t="s">
        <v>212</v>
      </c>
      <c r="E9" s="111" t="s">
        <v>211</v>
      </c>
      <c r="F9" s="112">
        <v>100</v>
      </c>
    </row>
    <row r="10" spans="1:6">
      <c r="A10" s="160"/>
      <c r="B10" s="161"/>
      <c r="C10" s="161"/>
      <c r="D10" s="108" t="s">
        <v>197</v>
      </c>
      <c r="E10" s="176"/>
      <c r="F10" s="176"/>
    </row>
    <row r="11" spans="1:6">
      <c r="A11" s="154" t="s">
        <v>16</v>
      </c>
      <c r="B11" s="155" t="s">
        <v>150</v>
      </c>
      <c r="C11" s="155" t="s">
        <v>150</v>
      </c>
      <c r="D11" s="114" t="s">
        <v>57</v>
      </c>
      <c r="E11" s="177"/>
      <c r="F11" s="178"/>
    </row>
    <row r="12" spans="1:6" ht="38.25">
      <c r="A12" s="156">
        <f>A7+1</f>
        <v>2</v>
      </c>
      <c r="B12" s="126" t="s">
        <v>170</v>
      </c>
      <c r="C12" s="157" t="s">
        <v>187</v>
      </c>
      <c r="D12" s="117" t="s">
        <v>343</v>
      </c>
      <c r="E12" s="174" t="s">
        <v>279</v>
      </c>
      <c r="F12" s="175">
        <f>F13+F14</f>
        <v>10404.400000000001</v>
      </c>
    </row>
    <row r="13" spans="1:6" ht="27">
      <c r="A13" s="158"/>
      <c r="B13" s="133"/>
      <c r="C13" s="159"/>
      <c r="D13" s="110" t="s">
        <v>224</v>
      </c>
      <c r="E13" s="119" t="s">
        <v>279</v>
      </c>
      <c r="F13" s="120">
        <v>0</v>
      </c>
    </row>
    <row r="14" spans="1:6" ht="27">
      <c r="A14" s="158"/>
      <c r="B14" s="133"/>
      <c r="C14" s="159"/>
      <c r="D14" s="113" t="s">
        <v>225</v>
      </c>
      <c r="E14" s="119" t="s">
        <v>279</v>
      </c>
      <c r="F14" s="120">
        <f>1153*14.8-450*14.8</f>
        <v>10404.400000000001</v>
      </c>
    </row>
    <row r="15" spans="1:6" ht="25.5">
      <c r="A15" s="156">
        <f>A12+1</f>
        <v>3</v>
      </c>
      <c r="B15" s="126" t="s">
        <v>169</v>
      </c>
      <c r="C15" s="157" t="s">
        <v>188</v>
      </c>
      <c r="D15" s="117" t="s">
        <v>344</v>
      </c>
      <c r="E15" s="174" t="s">
        <v>279</v>
      </c>
      <c r="F15" s="175">
        <f>500*14.8</f>
        <v>7400</v>
      </c>
    </row>
    <row r="16" spans="1:6" ht="14.25">
      <c r="A16" s="158"/>
      <c r="B16" s="133"/>
      <c r="C16" s="159"/>
      <c r="D16" s="197" t="s">
        <v>226</v>
      </c>
      <c r="E16" s="133"/>
      <c r="F16" s="133"/>
    </row>
    <row r="17" spans="1:6">
      <c r="A17" s="219" t="s">
        <v>323</v>
      </c>
      <c r="B17" s="155" t="s">
        <v>150</v>
      </c>
      <c r="C17" s="220" t="s">
        <v>324</v>
      </c>
      <c r="D17" s="121" t="s">
        <v>45</v>
      </c>
      <c r="E17" s="177"/>
      <c r="F17" s="178"/>
    </row>
    <row r="18" spans="1:6" ht="25.5">
      <c r="A18" s="156">
        <f>A15+1</f>
        <v>4</v>
      </c>
      <c r="B18" s="126" t="s">
        <v>171</v>
      </c>
      <c r="C18" s="157" t="s">
        <v>189</v>
      </c>
      <c r="D18" s="117" t="s">
        <v>268</v>
      </c>
      <c r="E18" s="174" t="s">
        <v>280</v>
      </c>
      <c r="F18" s="175">
        <v>0</v>
      </c>
    </row>
    <row r="19" spans="1:6">
      <c r="A19" s="158"/>
      <c r="B19" s="133"/>
      <c r="C19" s="159"/>
      <c r="D19" s="197" t="s">
        <v>264</v>
      </c>
      <c r="E19" s="133"/>
      <c r="F19" s="133"/>
    </row>
    <row r="20" spans="1:6" ht="25.5">
      <c r="A20" s="156">
        <f>A18+1</f>
        <v>5</v>
      </c>
      <c r="B20" s="126" t="s">
        <v>171</v>
      </c>
      <c r="C20" s="157" t="s">
        <v>190</v>
      </c>
      <c r="D20" s="117" t="s">
        <v>269</v>
      </c>
      <c r="E20" s="174" t="s">
        <v>280</v>
      </c>
      <c r="F20" s="175">
        <v>0</v>
      </c>
    </row>
    <row r="21" spans="1:6">
      <c r="A21" s="158"/>
      <c r="B21" s="133"/>
      <c r="C21" s="159"/>
      <c r="D21" s="197" t="s">
        <v>264</v>
      </c>
      <c r="E21" s="133"/>
      <c r="F21" s="133"/>
    </row>
    <row r="22" spans="1:6">
      <c r="A22" s="154" t="s">
        <v>16</v>
      </c>
      <c r="B22" s="155" t="s">
        <v>166</v>
      </c>
      <c r="C22" s="155" t="s">
        <v>166</v>
      </c>
      <c r="D22" s="121" t="s">
        <v>74</v>
      </c>
      <c r="E22" s="177"/>
      <c r="F22" s="178"/>
    </row>
    <row r="23" spans="1:6">
      <c r="A23" s="163"/>
      <c r="B23" s="164"/>
      <c r="C23" s="165"/>
      <c r="D23" s="122" t="s">
        <v>158</v>
      </c>
      <c r="E23" s="179"/>
      <c r="F23" s="180"/>
    </row>
    <row r="24" spans="1:6" ht="25.5">
      <c r="A24" s="156">
        <f>A20+1</f>
        <v>6</v>
      </c>
      <c r="B24" s="126" t="s">
        <v>172</v>
      </c>
      <c r="C24" s="157" t="s">
        <v>157</v>
      </c>
      <c r="D24" s="117" t="s">
        <v>160</v>
      </c>
      <c r="E24" s="174" t="s">
        <v>279</v>
      </c>
      <c r="F24" s="175">
        <f>F28+F30+F32</f>
        <v>2427.6768999999999</v>
      </c>
    </row>
    <row r="25" spans="1:6" ht="25.5">
      <c r="A25" s="156">
        <f>A24+1</f>
        <v>7</v>
      </c>
      <c r="B25" s="126" t="s">
        <v>172</v>
      </c>
      <c r="C25" s="157" t="s">
        <v>155</v>
      </c>
      <c r="D25" s="117" t="s">
        <v>156</v>
      </c>
      <c r="E25" s="174" t="s">
        <v>279</v>
      </c>
      <c r="F25" s="175">
        <f>F28+F30+F32</f>
        <v>2427.6768999999999</v>
      </c>
    </row>
    <row r="26" spans="1:6" ht="25.5">
      <c r="A26" s="156">
        <f>A25+1</f>
        <v>8</v>
      </c>
      <c r="B26" s="126" t="s">
        <v>172</v>
      </c>
      <c r="C26" s="157" t="s">
        <v>151</v>
      </c>
      <c r="D26" s="117" t="s">
        <v>153</v>
      </c>
      <c r="E26" s="174" t="s">
        <v>279</v>
      </c>
      <c r="F26" s="175">
        <f>F28+F30+F32</f>
        <v>2427.6768999999999</v>
      </c>
    </row>
    <row r="27" spans="1:6" ht="25.5">
      <c r="A27" s="156">
        <f>A26+1</f>
        <v>9</v>
      </c>
      <c r="B27" s="126" t="s">
        <v>172</v>
      </c>
      <c r="C27" s="157" t="s">
        <v>152</v>
      </c>
      <c r="D27" s="117" t="s">
        <v>154</v>
      </c>
      <c r="E27" s="174" t="s">
        <v>22</v>
      </c>
      <c r="F27" s="175">
        <f>F28*262.7+F30*175+F32*175</f>
        <v>424843.45749999996</v>
      </c>
    </row>
    <row r="28" spans="1:6" ht="14.25">
      <c r="A28" s="166"/>
      <c r="B28" s="167"/>
      <c r="C28" s="111"/>
      <c r="D28" s="123" t="s">
        <v>124</v>
      </c>
      <c r="E28" s="119" t="s">
        <v>279</v>
      </c>
      <c r="F28" s="124">
        <v>0</v>
      </c>
    </row>
    <row r="29" spans="1:6">
      <c r="A29" s="158"/>
      <c r="B29" s="133"/>
      <c r="C29" s="159"/>
      <c r="D29" s="197" t="s">
        <v>264</v>
      </c>
      <c r="E29" s="133"/>
      <c r="F29" s="133"/>
    </row>
    <row r="30" spans="1:6" ht="14.25">
      <c r="A30" s="166"/>
      <c r="B30" s="167"/>
      <c r="C30" s="111"/>
      <c r="D30" s="123" t="s">
        <v>128</v>
      </c>
      <c r="E30" s="119" t="s">
        <v>279</v>
      </c>
      <c r="F30" s="124">
        <v>0</v>
      </c>
    </row>
    <row r="31" spans="1:6">
      <c r="A31" s="166"/>
      <c r="B31" s="133"/>
      <c r="C31" s="159"/>
      <c r="D31" s="197" t="s">
        <v>264</v>
      </c>
      <c r="E31" s="133"/>
      <c r="F31" s="133"/>
    </row>
    <row r="32" spans="1:6" ht="14.25">
      <c r="A32" s="166"/>
      <c r="B32" s="167"/>
      <c r="C32" s="111"/>
      <c r="D32" s="123" t="s">
        <v>125</v>
      </c>
      <c r="E32" s="119" t="s">
        <v>279</v>
      </c>
      <c r="F32" s="124">
        <f xml:space="preserve"> (60*2)*13.17+(11.9+18.5+8.67+15)*15.67</f>
        <v>2427.6768999999999</v>
      </c>
    </row>
    <row r="33" spans="1:6">
      <c r="A33" s="166"/>
      <c r="B33" s="133"/>
      <c r="C33" s="159"/>
      <c r="D33" s="197" t="s">
        <v>252</v>
      </c>
      <c r="E33" s="133"/>
      <c r="F33" s="133"/>
    </row>
    <row r="34" spans="1:6">
      <c r="A34" s="163"/>
      <c r="B34" s="164"/>
      <c r="C34" s="165"/>
      <c r="D34" s="122" t="s">
        <v>159</v>
      </c>
      <c r="E34" s="179"/>
      <c r="F34" s="180"/>
    </row>
    <row r="35" spans="1:6" ht="25.5">
      <c r="A35" s="156">
        <f>A27+1</f>
        <v>10</v>
      </c>
      <c r="B35" s="126" t="s">
        <v>172</v>
      </c>
      <c r="C35" s="157" t="s">
        <v>191</v>
      </c>
      <c r="D35" s="117" t="s">
        <v>161</v>
      </c>
      <c r="E35" s="174" t="s">
        <v>279</v>
      </c>
      <c r="F35" s="175">
        <f>F39</f>
        <v>0</v>
      </c>
    </row>
    <row r="36" spans="1:6" ht="25.5">
      <c r="A36" s="156">
        <f>A35+1</f>
        <v>11</v>
      </c>
      <c r="B36" s="126" t="s">
        <v>172</v>
      </c>
      <c r="C36" s="157" t="s">
        <v>155</v>
      </c>
      <c r="D36" s="117" t="s">
        <v>156</v>
      </c>
      <c r="E36" s="174" t="s">
        <v>279</v>
      </c>
      <c r="F36" s="175">
        <f>F39</f>
        <v>0</v>
      </c>
    </row>
    <row r="37" spans="1:6" ht="25.5">
      <c r="A37" s="156">
        <f>A36+1</f>
        <v>12</v>
      </c>
      <c r="B37" s="126" t="s">
        <v>172</v>
      </c>
      <c r="C37" s="157" t="s">
        <v>151</v>
      </c>
      <c r="D37" s="117" t="s">
        <v>153</v>
      </c>
      <c r="E37" s="174" t="s">
        <v>279</v>
      </c>
      <c r="F37" s="175">
        <f>F39+F41</f>
        <v>0</v>
      </c>
    </row>
    <row r="38" spans="1:6" ht="25.5">
      <c r="A38" s="156">
        <f>A37+1</f>
        <v>13</v>
      </c>
      <c r="B38" s="126" t="s">
        <v>172</v>
      </c>
      <c r="C38" s="157" t="s">
        <v>152</v>
      </c>
      <c r="D38" s="117" t="s">
        <v>154</v>
      </c>
      <c r="E38" s="174" t="s">
        <v>22</v>
      </c>
      <c r="F38" s="175">
        <f>F39*155.4</f>
        <v>0</v>
      </c>
    </row>
    <row r="39" spans="1:6" ht="14.25">
      <c r="A39" s="166"/>
      <c r="B39" s="167"/>
      <c r="C39" s="111"/>
      <c r="D39" s="123" t="s">
        <v>129</v>
      </c>
      <c r="E39" s="119" t="s">
        <v>279</v>
      </c>
      <c r="F39" s="124">
        <v>0</v>
      </c>
    </row>
    <row r="40" spans="1:6">
      <c r="A40" s="166"/>
      <c r="B40" s="167"/>
      <c r="C40" s="159"/>
      <c r="D40" s="197" t="s">
        <v>264</v>
      </c>
      <c r="E40" s="133"/>
      <c r="F40" s="133"/>
    </row>
    <row r="41" spans="1:6" ht="14.25">
      <c r="A41" s="166"/>
      <c r="B41" s="167"/>
      <c r="C41" s="111"/>
      <c r="D41" s="123" t="s">
        <v>130</v>
      </c>
      <c r="E41" s="119" t="s">
        <v>279</v>
      </c>
      <c r="F41" s="124">
        <v>0</v>
      </c>
    </row>
    <row r="42" spans="1:6">
      <c r="A42" s="154" t="s">
        <v>16</v>
      </c>
      <c r="B42" s="155" t="s">
        <v>150</v>
      </c>
      <c r="C42" s="155" t="s">
        <v>150</v>
      </c>
      <c r="D42" s="121" t="s">
        <v>75</v>
      </c>
      <c r="E42" s="115"/>
      <c r="F42" s="116"/>
    </row>
    <row r="43" spans="1:6" ht="25.5">
      <c r="A43" s="156">
        <f>A38+1</f>
        <v>14</v>
      </c>
      <c r="B43" s="126" t="s">
        <v>173</v>
      </c>
      <c r="C43" s="157" t="s">
        <v>192</v>
      </c>
      <c r="D43" s="117" t="s">
        <v>270</v>
      </c>
      <c r="E43" s="174" t="s">
        <v>279</v>
      </c>
      <c r="F43" s="175">
        <v>0</v>
      </c>
    </row>
    <row r="44" spans="1:6">
      <c r="A44" s="166"/>
      <c r="B44" s="167"/>
      <c r="C44" s="159"/>
      <c r="D44" s="197" t="s">
        <v>321</v>
      </c>
      <c r="E44" s="133"/>
      <c r="F44" s="133"/>
    </row>
    <row r="45" spans="1:6" ht="25.5">
      <c r="A45" s="156">
        <f>A43+1</f>
        <v>15</v>
      </c>
      <c r="B45" s="126" t="s">
        <v>173</v>
      </c>
      <c r="C45" s="157" t="s">
        <v>249</v>
      </c>
      <c r="D45" s="117" t="s">
        <v>248</v>
      </c>
      <c r="E45" s="174" t="s">
        <v>279</v>
      </c>
      <c r="F45" s="175">
        <v>0</v>
      </c>
    </row>
    <row r="46" spans="1:6">
      <c r="A46" s="166"/>
      <c r="B46" s="167"/>
      <c r="C46" s="159"/>
      <c r="D46" s="197" t="s">
        <v>264</v>
      </c>
      <c r="E46" s="133"/>
      <c r="F46" s="133"/>
    </row>
    <row r="47" spans="1:6">
      <c r="A47" s="272" t="s">
        <v>204</v>
      </c>
      <c r="B47" s="273"/>
      <c r="C47" s="273"/>
      <c r="D47" s="273"/>
      <c r="E47" s="273"/>
      <c r="F47" s="273"/>
    </row>
    <row r="48" spans="1:6">
      <c r="A48" s="154" t="s">
        <v>16</v>
      </c>
      <c r="B48" s="155" t="s">
        <v>166</v>
      </c>
      <c r="C48" s="155" t="s">
        <v>166</v>
      </c>
      <c r="D48" s="121" t="s">
        <v>162</v>
      </c>
      <c r="E48" s="177"/>
      <c r="F48" s="178"/>
    </row>
    <row r="49" spans="1:6" ht="76.5">
      <c r="A49" s="156">
        <f>A45+1</f>
        <v>16</v>
      </c>
      <c r="B49" s="126" t="s">
        <v>174</v>
      </c>
      <c r="C49" s="157" t="s">
        <v>164</v>
      </c>
      <c r="D49" s="125" t="s">
        <v>163</v>
      </c>
      <c r="E49" s="126" t="s">
        <v>22</v>
      </c>
      <c r="F49" s="127">
        <f>F50+F52</f>
        <v>471993.73260869563</v>
      </c>
    </row>
    <row r="50" spans="1:6">
      <c r="A50" s="158"/>
      <c r="B50" s="133"/>
      <c r="C50" s="159"/>
      <c r="D50" s="110" t="s">
        <v>102</v>
      </c>
      <c r="E50" s="119" t="s">
        <v>22</v>
      </c>
      <c r="F50" s="120">
        <v>0</v>
      </c>
    </row>
    <row r="51" spans="1:6">
      <c r="A51" s="158"/>
      <c r="B51" s="167"/>
      <c r="C51" s="159"/>
      <c r="D51" s="197" t="s">
        <v>264</v>
      </c>
      <c r="E51" s="133"/>
      <c r="F51" s="133"/>
    </row>
    <row r="52" spans="1:6">
      <c r="A52" s="158"/>
      <c r="B52" s="133"/>
      <c r="C52" s="159"/>
      <c r="D52" s="110" t="s">
        <v>103</v>
      </c>
      <c r="E52" s="119" t="s">
        <v>22</v>
      </c>
      <c r="F52" s="120">
        <f>87.175/138*738372+5562</f>
        <v>471993.73260869563</v>
      </c>
    </row>
    <row r="53" spans="1:6">
      <c r="A53" s="158"/>
      <c r="B53" s="167"/>
      <c r="C53" s="159"/>
      <c r="D53" s="205" t="s">
        <v>254</v>
      </c>
      <c r="E53" s="158"/>
      <c r="F53" s="167"/>
    </row>
    <row r="54" spans="1:6">
      <c r="A54" s="272" t="s">
        <v>205</v>
      </c>
      <c r="B54" s="273"/>
      <c r="C54" s="273"/>
      <c r="D54" s="273"/>
      <c r="E54" s="273"/>
      <c r="F54" s="273"/>
    </row>
    <row r="55" spans="1:6">
      <c r="A55" s="154" t="s">
        <v>16</v>
      </c>
      <c r="B55" s="155" t="s">
        <v>166</v>
      </c>
      <c r="C55" s="155" t="s">
        <v>166</v>
      </c>
      <c r="D55" s="121" t="s">
        <v>24</v>
      </c>
      <c r="E55" s="177"/>
      <c r="F55" s="178"/>
    </row>
    <row r="56" spans="1:6">
      <c r="A56" s="168"/>
      <c r="B56" s="165"/>
      <c r="C56" s="165"/>
      <c r="D56" s="128" t="s">
        <v>271</v>
      </c>
      <c r="E56" s="181"/>
      <c r="F56" s="181"/>
    </row>
    <row r="57" spans="1:6" ht="25.5">
      <c r="A57" s="169">
        <f>A49+1</f>
        <v>17</v>
      </c>
      <c r="B57" s="126" t="s">
        <v>175</v>
      </c>
      <c r="C57" s="157" t="s">
        <v>138</v>
      </c>
      <c r="D57" s="129" t="s">
        <v>82</v>
      </c>
      <c r="E57" s="130"/>
      <c r="F57" s="127"/>
    </row>
    <row r="58" spans="1:6" ht="14.25">
      <c r="A58" s="158"/>
      <c r="B58" s="133"/>
      <c r="C58" s="159"/>
      <c r="D58" s="131" t="s">
        <v>83</v>
      </c>
      <c r="E58" s="119" t="s">
        <v>279</v>
      </c>
      <c r="F58" s="120">
        <f>F59</f>
        <v>0</v>
      </c>
    </row>
    <row r="59" spans="1:6" ht="14.25">
      <c r="A59" s="158"/>
      <c r="B59" s="133"/>
      <c r="C59" s="159"/>
      <c r="D59" s="132" t="s">
        <v>105</v>
      </c>
      <c r="E59" s="119" t="s">
        <v>279</v>
      </c>
      <c r="F59" s="120">
        <v>0</v>
      </c>
    </row>
    <row r="60" spans="1:6" ht="14.25">
      <c r="A60" s="158"/>
      <c r="B60" s="133"/>
      <c r="C60" s="159"/>
      <c r="D60" s="197" t="s">
        <v>232</v>
      </c>
      <c r="E60" s="119"/>
      <c r="F60" s="120"/>
    </row>
    <row r="61" spans="1:6" ht="14.25">
      <c r="A61" s="158"/>
      <c r="B61" s="133"/>
      <c r="C61" s="159"/>
      <c r="D61" s="132" t="s">
        <v>109</v>
      </c>
      <c r="E61" s="119" t="s">
        <v>279</v>
      </c>
      <c r="F61" s="120">
        <v>0</v>
      </c>
    </row>
    <row r="62" spans="1:6" ht="25.5">
      <c r="A62" s="156">
        <f>A57+1</f>
        <v>18</v>
      </c>
      <c r="B62" s="126" t="s">
        <v>175</v>
      </c>
      <c r="C62" s="157" t="s">
        <v>138</v>
      </c>
      <c r="D62" s="129" t="s">
        <v>84</v>
      </c>
      <c r="E62" s="130"/>
      <c r="F62" s="127"/>
    </row>
    <row r="63" spans="1:6" ht="14.25">
      <c r="A63" s="158"/>
      <c r="B63" s="133"/>
      <c r="C63" s="159"/>
      <c r="D63" s="131" t="s">
        <v>83</v>
      </c>
      <c r="E63" s="119" t="s">
        <v>279</v>
      </c>
      <c r="F63" s="120">
        <f>F64+F66</f>
        <v>1294.0433876811594</v>
      </c>
    </row>
    <row r="64" spans="1:6" ht="14.25">
      <c r="A64" s="158"/>
      <c r="B64" s="133"/>
      <c r="C64" s="159"/>
      <c r="D64" s="132" t="s">
        <v>104</v>
      </c>
      <c r="E64" s="119" t="s">
        <v>279</v>
      </c>
      <c r="F64" s="120">
        <v>0</v>
      </c>
    </row>
    <row r="65" spans="1:6">
      <c r="A65" s="158"/>
      <c r="B65" s="133"/>
      <c r="C65" s="159"/>
      <c r="D65" s="197" t="s">
        <v>264</v>
      </c>
      <c r="E65" s="119"/>
      <c r="F65" s="120"/>
    </row>
    <row r="66" spans="1:6" ht="14.25">
      <c r="A66" s="158"/>
      <c r="B66" s="133"/>
      <c r="C66" s="159"/>
      <c r="D66" s="132" t="s">
        <v>108</v>
      </c>
      <c r="E66" s="119" t="s">
        <v>279</v>
      </c>
      <c r="F66" s="120">
        <f>87.175/138*2048.5</f>
        <v>1294.0433876811594</v>
      </c>
    </row>
    <row r="67" spans="1:6" ht="14.25">
      <c r="A67" s="158"/>
      <c r="B67" s="133"/>
      <c r="C67" s="159"/>
      <c r="D67" s="197" t="s">
        <v>256</v>
      </c>
      <c r="E67" s="119"/>
      <c r="F67" s="120"/>
    </row>
    <row r="68" spans="1:6" ht="25.5">
      <c r="A68" s="156">
        <f>A62+1</f>
        <v>19</v>
      </c>
      <c r="B68" s="126" t="s">
        <v>175</v>
      </c>
      <c r="C68" s="157" t="s">
        <v>138</v>
      </c>
      <c r="D68" s="129" t="s">
        <v>86</v>
      </c>
      <c r="E68" s="174"/>
      <c r="F68" s="175"/>
    </row>
    <row r="69" spans="1:6" ht="12.6" customHeight="1">
      <c r="A69" s="158"/>
      <c r="B69" s="133"/>
      <c r="C69" s="159"/>
      <c r="D69" s="131" t="s">
        <v>81</v>
      </c>
      <c r="E69" s="119" t="s">
        <v>279</v>
      </c>
      <c r="F69" s="120">
        <f>1.4*15*2</f>
        <v>42</v>
      </c>
    </row>
    <row r="70" spans="1:6" ht="12.6" customHeight="1">
      <c r="A70" s="158"/>
      <c r="B70" s="133"/>
      <c r="C70" s="159"/>
      <c r="D70" s="197" t="s">
        <v>233</v>
      </c>
      <c r="E70" s="119"/>
      <c r="F70" s="120"/>
    </row>
    <row r="71" spans="1:6" ht="25.5">
      <c r="A71" s="156">
        <f>A68+1</f>
        <v>20</v>
      </c>
      <c r="B71" s="126" t="s">
        <v>175</v>
      </c>
      <c r="C71" s="157" t="s">
        <v>138</v>
      </c>
      <c r="D71" s="129" t="s">
        <v>87</v>
      </c>
      <c r="E71" s="174"/>
      <c r="F71" s="175"/>
    </row>
    <row r="72" spans="1:6" ht="14.25">
      <c r="A72" s="158"/>
      <c r="B72" s="133"/>
      <c r="C72" s="159"/>
      <c r="D72" s="131" t="s">
        <v>81</v>
      </c>
      <c r="E72" s="119" t="s">
        <v>279</v>
      </c>
      <c r="F72" s="120">
        <f>F73+F75</f>
        <v>168</v>
      </c>
    </row>
    <row r="73" spans="1:6" ht="14.25">
      <c r="A73" s="158"/>
      <c r="B73" s="133"/>
      <c r="C73" s="159"/>
      <c r="D73" s="132" t="s">
        <v>106</v>
      </c>
      <c r="E73" s="119" t="s">
        <v>279</v>
      </c>
      <c r="F73" s="134">
        <v>0</v>
      </c>
    </row>
    <row r="74" spans="1:6" ht="13.9" customHeight="1">
      <c r="A74" s="158"/>
      <c r="B74" s="133"/>
      <c r="C74" s="159"/>
      <c r="D74" s="197" t="s">
        <v>234</v>
      </c>
      <c r="E74" s="133"/>
      <c r="F74" s="134"/>
    </row>
    <row r="75" spans="1:6" ht="14.25">
      <c r="A75" s="158"/>
      <c r="B75" s="133"/>
      <c r="C75" s="159"/>
      <c r="D75" s="132" t="s">
        <v>107</v>
      </c>
      <c r="E75" s="119" t="s">
        <v>279</v>
      </c>
      <c r="F75" s="134">
        <f>189*160/180</f>
        <v>168</v>
      </c>
    </row>
    <row r="76" spans="1:6" ht="14.25">
      <c r="A76" s="158"/>
      <c r="B76" s="133"/>
      <c r="C76" s="159"/>
      <c r="D76" s="197" t="s">
        <v>235</v>
      </c>
      <c r="E76" s="133"/>
      <c r="F76" s="134"/>
    </row>
    <row r="77" spans="1:6">
      <c r="A77" s="154" t="s">
        <v>16</v>
      </c>
      <c r="B77" s="155" t="s">
        <v>166</v>
      </c>
      <c r="C77" s="155" t="s">
        <v>166</v>
      </c>
      <c r="D77" s="121" t="s">
        <v>258</v>
      </c>
      <c r="E77" s="177"/>
      <c r="F77" s="178"/>
    </row>
    <row r="78" spans="1:6" ht="25.5">
      <c r="A78" s="156">
        <f>A71+1</f>
        <v>21</v>
      </c>
      <c r="B78" s="126" t="s">
        <v>175</v>
      </c>
      <c r="C78" s="157" t="s">
        <v>138</v>
      </c>
      <c r="D78" s="135" t="s">
        <v>259</v>
      </c>
      <c r="E78" s="174"/>
      <c r="F78" s="175"/>
    </row>
    <row r="79" spans="1:6">
      <c r="A79" s="156"/>
      <c r="B79" s="126"/>
      <c r="C79" s="157"/>
      <c r="D79" s="135" t="s">
        <v>261</v>
      </c>
      <c r="E79" s="174"/>
      <c r="F79" s="175"/>
    </row>
    <row r="80" spans="1:6" ht="14.25">
      <c r="A80" s="166"/>
      <c r="B80" s="167"/>
      <c r="C80" s="111"/>
      <c r="D80" s="123" t="s">
        <v>262</v>
      </c>
      <c r="E80" s="119" t="s">
        <v>279</v>
      </c>
      <c r="F80" s="124">
        <v>0</v>
      </c>
    </row>
    <row r="81" spans="1:7">
      <c r="A81" s="166"/>
      <c r="B81" s="167"/>
      <c r="C81" s="111"/>
      <c r="D81" s="206" t="s">
        <v>265</v>
      </c>
      <c r="E81" s="142"/>
      <c r="F81" s="124"/>
    </row>
    <row r="82" spans="1:7" ht="14.25">
      <c r="A82" s="166"/>
      <c r="B82" s="167"/>
      <c r="C82" s="111"/>
      <c r="D82" s="123" t="s">
        <v>263</v>
      </c>
      <c r="E82" s="119" t="s">
        <v>279</v>
      </c>
      <c r="F82" s="124">
        <v>0</v>
      </c>
    </row>
    <row r="83" spans="1:7">
      <c r="A83" s="166"/>
      <c r="B83" s="167"/>
      <c r="C83" s="111"/>
      <c r="D83" s="206" t="s">
        <v>264</v>
      </c>
      <c r="E83" s="142"/>
      <c r="F83" s="124"/>
    </row>
    <row r="84" spans="1:7">
      <c r="A84" s="156"/>
      <c r="B84" s="126"/>
      <c r="C84" s="157"/>
      <c r="D84" s="135" t="s">
        <v>260</v>
      </c>
      <c r="E84" s="174"/>
      <c r="F84" s="175"/>
    </row>
    <row r="85" spans="1:7" ht="14.25">
      <c r="A85" s="166"/>
      <c r="B85" s="167"/>
      <c r="C85" s="111"/>
      <c r="D85" s="123" t="s">
        <v>262</v>
      </c>
      <c r="E85" s="119" t="s">
        <v>279</v>
      </c>
      <c r="F85" s="124">
        <v>0</v>
      </c>
    </row>
    <row r="86" spans="1:7">
      <c r="A86" s="166"/>
      <c r="B86" s="167"/>
      <c r="C86" s="111"/>
      <c r="D86" s="206" t="s">
        <v>264</v>
      </c>
      <c r="E86" s="142"/>
      <c r="F86" s="124"/>
    </row>
    <row r="87" spans="1:7" ht="14.25">
      <c r="A87" s="166"/>
      <c r="B87" s="167"/>
      <c r="C87" s="111"/>
      <c r="D87" s="123" t="s">
        <v>263</v>
      </c>
      <c r="E87" s="119" t="s">
        <v>279</v>
      </c>
      <c r="F87" s="124">
        <f>137*14.8*0.24*87.175/138</f>
        <v>307.40179130434785</v>
      </c>
    </row>
    <row r="88" spans="1:7">
      <c r="A88" s="166"/>
      <c r="B88" s="167"/>
      <c r="C88" s="111"/>
      <c r="D88" s="206" t="s">
        <v>266</v>
      </c>
      <c r="E88" s="142"/>
      <c r="F88" s="124"/>
    </row>
    <row r="89" spans="1:7">
      <c r="A89" s="154" t="s">
        <v>16</v>
      </c>
      <c r="B89" s="155" t="s">
        <v>166</v>
      </c>
      <c r="C89" s="155" t="s">
        <v>166</v>
      </c>
      <c r="D89" s="121" t="s">
        <v>25</v>
      </c>
      <c r="E89" s="177"/>
      <c r="F89" s="178"/>
    </row>
    <row r="90" spans="1:7" ht="25.5">
      <c r="A90" s="156">
        <f>A78+1</f>
        <v>22</v>
      </c>
      <c r="B90" s="126" t="s">
        <v>176</v>
      </c>
      <c r="C90" s="157" t="s">
        <v>138</v>
      </c>
      <c r="D90" s="135" t="s">
        <v>257</v>
      </c>
      <c r="E90" s="174"/>
      <c r="F90" s="175"/>
    </row>
    <row r="91" spans="1:7" ht="14.25">
      <c r="A91" s="158"/>
      <c r="B91" s="133"/>
      <c r="C91" s="159"/>
      <c r="D91" s="136" t="s">
        <v>110</v>
      </c>
      <c r="E91" s="119" t="s">
        <v>279</v>
      </c>
      <c r="F91" s="120">
        <f>F92+F94</f>
        <v>203.36611956521739</v>
      </c>
    </row>
    <row r="92" spans="1:7" ht="12.6" customHeight="1">
      <c r="A92" s="158"/>
      <c r="B92" s="133"/>
      <c r="C92" s="111"/>
      <c r="D92" s="132" t="s">
        <v>111</v>
      </c>
      <c r="E92" s="119" t="s">
        <v>279</v>
      </c>
      <c r="F92" s="120">
        <v>0</v>
      </c>
    </row>
    <row r="93" spans="1:7">
      <c r="A93" s="158"/>
      <c r="B93" s="133"/>
      <c r="C93" s="111"/>
      <c r="D93" s="197" t="s">
        <v>264</v>
      </c>
      <c r="E93" s="111"/>
      <c r="F93" s="111"/>
      <c r="G93" s="207"/>
    </row>
    <row r="94" spans="1:7" ht="12.6" customHeight="1">
      <c r="A94" s="158"/>
      <c r="B94" s="133"/>
      <c r="C94" s="111"/>
      <c r="D94" s="132" t="s">
        <v>112</v>
      </c>
      <c r="E94" s="119" t="s">
        <v>279</v>
      </c>
      <c r="F94" s="120">
        <f>11.24+137*14.8*0.15*87.175/138</f>
        <v>203.36611956521739</v>
      </c>
    </row>
    <row r="95" spans="1:7" ht="14.25">
      <c r="A95" s="158"/>
      <c r="B95" s="133"/>
      <c r="C95" s="111"/>
      <c r="D95" s="197" t="s">
        <v>275</v>
      </c>
      <c r="E95" s="111"/>
      <c r="F95" s="111"/>
      <c r="G95" s="207"/>
    </row>
    <row r="96" spans="1:7">
      <c r="A96" s="272" t="s">
        <v>206</v>
      </c>
      <c r="B96" s="273"/>
      <c r="C96" s="273"/>
      <c r="D96" s="273"/>
      <c r="E96" s="273"/>
      <c r="F96" s="273"/>
    </row>
    <row r="97" spans="1:6" ht="12.6" customHeight="1">
      <c r="A97" s="154" t="s">
        <v>16</v>
      </c>
      <c r="B97" s="155" t="s">
        <v>166</v>
      </c>
      <c r="C97" s="155" t="s">
        <v>166</v>
      </c>
      <c r="D97" s="121" t="s">
        <v>48</v>
      </c>
      <c r="E97" s="177"/>
      <c r="F97" s="178"/>
    </row>
    <row r="98" spans="1:6">
      <c r="A98" s="156">
        <f>A90+1</f>
        <v>23</v>
      </c>
      <c r="B98" s="126" t="s">
        <v>177</v>
      </c>
      <c r="C98" s="157" t="s">
        <v>139</v>
      </c>
      <c r="D98" s="129" t="s">
        <v>49</v>
      </c>
      <c r="E98" s="174" t="s">
        <v>30</v>
      </c>
      <c r="F98" s="175">
        <f>F99+F101</f>
        <v>174.00000000000003</v>
      </c>
    </row>
    <row r="99" spans="1:6">
      <c r="A99" s="158"/>
      <c r="B99" s="133"/>
      <c r="C99" s="159"/>
      <c r="D99" s="132" t="s">
        <v>131</v>
      </c>
      <c r="E99" s="119" t="s">
        <v>30</v>
      </c>
      <c r="F99" s="120">
        <v>0</v>
      </c>
    </row>
    <row r="100" spans="1:6">
      <c r="A100" s="158"/>
      <c r="B100" s="133"/>
      <c r="C100" s="159"/>
      <c r="D100" s="197" t="s">
        <v>264</v>
      </c>
      <c r="E100" s="119"/>
      <c r="F100" s="120"/>
    </row>
    <row r="101" spans="1:6">
      <c r="A101" s="158"/>
      <c r="B101" s="133"/>
      <c r="C101" s="159"/>
      <c r="D101" s="132" t="s">
        <v>132</v>
      </c>
      <c r="E101" s="119" t="s">
        <v>30</v>
      </c>
      <c r="F101" s="120">
        <f xml:space="preserve"> 41.9+48.5+38.7+44.9</f>
        <v>174.00000000000003</v>
      </c>
    </row>
    <row r="102" spans="1:6">
      <c r="A102" s="198"/>
      <c r="B102" s="133"/>
      <c r="C102" s="159"/>
      <c r="D102" s="197" t="s">
        <v>237</v>
      </c>
      <c r="E102" s="199"/>
      <c r="F102" s="200"/>
    </row>
    <row r="103" spans="1:6">
      <c r="A103" s="272" t="s">
        <v>207</v>
      </c>
      <c r="B103" s="273"/>
      <c r="C103" s="273"/>
      <c r="D103" s="273"/>
      <c r="E103" s="273"/>
      <c r="F103" s="273"/>
    </row>
    <row r="104" spans="1:6">
      <c r="A104" s="154" t="s">
        <v>16</v>
      </c>
      <c r="B104" s="155" t="s">
        <v>166</v>
      </c>
      <c r="C104" s="155" t="s">
        <v>166</v>
      </c>
      <c r="D104" s="121" t="s">
        <v>213</v>
      </c>
      <c r="E104" s="115"/>
      <c r="F104" s="116"/>
    </row>
    <row r="105" spans="1:6" ht="25.5">
      <c r="A105" s="156">
        <f>A98+1</f>
        <v>24</v>
      </c>
      <c r="B105" s="126" t="s">
        <v>214</v>
      </c>
      <c r="C105" s="157" t="s">
        <v>215</v>
      </c>
      <c r="D105" s="129" t="s">
        <v>272</v>
      </c>
      <c r="E105" s="182" t="s">
        <v>280</v>
      </c>
      <c r="F105" s="183"/>
    </row>
    <row r="106" spans="1:6" ht="14.25">
      <c r="A106" s="132"/>
      <c r="B106" s="132"/>
      <c r="C106" s="132"/>
      <c r="D106" s="132" t="s">
        <v>216</v>
      </c>
      <c r="E106" s="184" t="s">
        <v>280</v>
      </c>
      <c r="F106" s="120">
        <v>0</v>
      </c>
    </row>
    <row r="107" spans="1:6">
      <c r="A107" s="132"/>
      <c r="B107" s="132"/>
      <c r="C107" s="132"/>
      <c r="D107" s="197" t="s">
        <v>264</v>
      </c>
      <c r="E107" s="184"/>
      <c r="F107" s="120"/>
    </row>
    <row r="108" spans="1:6" ht="14.25">
      <c r="A108" s="132"/>
      <c r="B108" s="132"/>
      <c r="C108" s="132"/>
      <c r="D108" s="132" t="s">
        <v>217</v>
      </c>
      <c r="E108" s="184" t="s">
        <v>280</v>
      </c>
      <c r="F108" s="120">
        <f>87*15</f>
        <v>1305</v>
      </c>
    </row>
    <row r="109" spans="1:6">
      <c r="A109" s="201"/>
      <c r="B109" s="132"/>
      <c r="C109" s="132"/>
      <c r="D109" s="197" t="s">
        <v>239</v>
      </c>
      <c r="E109" s="184"/>
      <c r="F109" s="120"/>
    </row>
    <row r="110" spans="1:6" ht="25.5">
      <c r="A110" s="156">
        <f>A105+1</f>
        <v>25</v>
      </c>
      <c r="B110" s="126" t="s">
        <v>178</v>
      </c>
      <c r="C110" s="157" t="s">
        <v>273</v>
      </c>
      <c r="D110" s="129" t="s">
        <v>218</v>
      </c>
      <c r="E110" s="130"/>
      <c r="F110" s="127"/>
    </row>
    <row r="111" spans="1:6" ht="14.25">
      <c r="A111" s="158"/>
      <c r="B111" s="133"/>
      <c r="C111" s="159"/>
      <c r="D111" s="137" t="s">
        <v>219</v>
      </c>
      <c r="E111" s="184" t="s">
        <v>280</v>
      </c>
      <c r="F111" s="120">
        <v>0</v>
      </c>
    </row>
    <row r="112" spans="1:6">
      <c r="A112" s="158"/>
      <c r="B112" s="133"/>
      <c r="C112" s="159"/>
      <c r="D112" s="197" t="s">
        <v>264</v>
      </c>
      <c r="E112" s="202"/>
      <c r="F112" s="203"/>
    </row>
    <row r="113" spans="1:6" ht="25.5">
      <c r="A113" s="156">
        <f>A110+1</f>
        <v>26</v>
      </c>
      <c r="B113" s="126" t="s">
        <v>220</v>
      </c>
      <c r="C113" s="157" t="s">
        <v>221</v>
      </c>
      <c r="D113" s="138" t="s">
        <v>274</v>
      </c>
      <c r="E113" s="139"/>
      <c r="F113" s="140"/>
    </row>
    <row r="114" spans="1:6" ht="14.25">
      <c r="A114" s="158"/>
      <c r="B114" s="133"/>
      <c r="C114" s="159"/>
      <c r="D114" s="132" t="s">
        <v>222</v>
      </c>
      <c r="E114" s="184" t="s">
        <v>280</v>
      </c>
      <c r="F114" s="120">
        <v>0</v>
      </c>
    </row>
    <row r="115" spans="1:6">
      <c r="A115" s="158"/>
      <c r="B115" s="133"/>
      <c r="C115" s="159"/>
      <c r="D115" s="197" t="s">
        <v>264</v>
      </c>
      <c r="E115" s="119"/>
      <c r="F115" s="120"/>
    </row>
    <row r="116" spans="1:6" ht="14.25">
      <c r="A116" s="158"/>
      <c r="B116" s="133"/>
      <c r="C116" s="159"/>
      <c r="D116" s="132" t="s">
        <v>223</v>
      </c>
      <c r="E116" s="184" t="s">
        <v>280</v>
      </c>
      <c r="F116" s="120">
        <f>87*15</f>
        <v>1305</v>
      </c>
    </row>
    <row r="117" spans="1:6">
      <c r="A117" s="198"/>
      <c r="B117" s="133"/>
      <c r="C117" s="159"/>
      <c r="D117" s="197" t="s">
        <v>239</v>
      </c>
      <c r="E117" s="202"/>
      <c r="F117" s="203"/>
    </row>
    <row r="118" spans="1:6">
      <c r="A118" s="274" t="s">
        <v>208</v>
      </c>
      <c r="B118" s="275"/>
      <c r="C118" s="275"/>
      <c r="D118" s="275"/>
      <c r="E118" s="275"/>
      <c r="F118" s="275"/>
    </row>
    <row r="119" spans="1:6">
      <c r="A119" s="154" t="s">
        <v>16</v>
      </c>
      <c r="B119" s="162" t="s">
        <v>166</v>
      </c>
      <c r="C119" s="162" t="s">
        <v>166</v>
      </c>
      <c r="D119" s="114" t="s">
        <v>31</v>
      </c>
      <c r="E119" s="185"/>
      <c r="F119" s="185"/>
    </row>
    <row r="120" spans="1:6" ht="25.5">
      <c r="A120" s="156">
        <f>A113+1</f>
        <v>27</v>
      </c>
      <c r="B120" s="126" t="s">
        <v>179</v>
      </c>
      <c r="C120" s="157" t="s">
        <v>193</v>
      </c>
      <c r="D120" s="129" t="s">
        <v>345</v>
      </c>
      <c r="E120" s="182" t="s">
        <v>280</v>
      </c>
      <c r="F120" s="175">
        <f>F121+F123</f>
        <v>608</v>
      </c>
    </row>
    <row r="121" spans="1:6" ht="14.25">
      <c r="A121" s="166"/>
      <c r="B121" s="167"/>
      <c r="C121" s="111"/>
      <c r="D121" s="141" t="s">
        <v>113</v>
      </c>
      <c r="E121" s="184" t="s">
        <v>280</v>
      </c>
      <c r="F121" s="124">
        <v>0</v>
      </c>
    </row>
    <row r="122" spans="1:6">
      <c r="A122" s="166"/>
      <c r="B122" s="167"/>
      <c r="C122" s="111"/>
      <c r="D122" s="197" t="s">
        <v>264</v>
      </c>
      <c r="E122" s="142"/>
      <c r="F122" s="124"/>
    </row>
    <row r="123" spans="1:6" ht="14.25">
      <c r="A123" s="166"/>
      <c r="B123" s="167"/>
      <c r="C123" s="111"/>
      <c r="D123" s="141" t="s">
        <v>114</v>
      </c>
      <c r="E123" s="184" t="s">
        <v>280</v>
      </c>
      <c r="F123" s="124">
        <v>608</v>
      </c>
    </row>
    <row r="124" spans="1:6" ht="14.25">
      <c r="A124" s="166"/>
      <c r="B124" s="167"/>
      <c r="C124" s="111"/>
      <c r="D124" s="197" t="s">
        <v>242</v>
      </c>
      <c r="E124" s="142"/>
      <c r="F124" s="124"/>
    </row>
    <row r="125" spans="1:6" s="91" customFormat="1" ht="25.5">
      <c r="A125" s="169">
        <f>A120+1</f>
        <v>28</v>
      </c>
      <c r="B125" s="157" t="s">
        <v>180</v>
      </c>
      <c r="C125" s="157" t="s">
        <v>194</v>
      </c>
      <c r="D125" s="117" t="s">
        <v>133</v>
      </c>
      <c r="E125" s="157" t="s">
        <v>30</v>
      </c>
      <c r="F125" s="186">
        <f>55*4+2*17</f>
        <v>254</v>
      </c>
    </row>
    <row r="126" spans="1:6">
      <c r="A126" s="166"/>
      <c r="B126" s="167"/>
      <c r="C126" s="111"/>
      <c r="D126" s="143" t="s">
        <v>135</v>
      </c>
      <c r="E126" s="142" t="s">
        <v>30</v>
      </c>
      <c r="F126" s="124">
        <v>0</v>
      </c>
    </row>
    <row r="127" spans="1:6">
      <c r="A127" s="166"/>
      <c r="B127" s="167"/>
      <c r="C127" s="111"/>
      <c r="D127" s="197" t="s">
        <v>264</v>
      </c>
      <c r="E127" s="142"/>
      <c r="F127" s="124"/>
    </row>
    <row r="128" spans="1:6">
      <c r="A128" s="166"/>
      <c r="B128" s="167"/>
      <c r="C128" s="111"/>
      <c r="D128" s="144" t="s">
        <v>134</v>
      </c>
      <c r="E128" s="142" t="s">
        <v>30</v>
      </c>
      <c r="F128" s="124">
        <f>55*4</f>
        <v>220</v>
      </c>
    </row>
    <row r="129" spans="1:6">
      <c r="A129" s="166"/>
      <c r="B129" s="167"/>
      <c r="C129" s="111"/>
      <c r="D129" s="197" t="s">
        <v>244</v>
      </c>
      <c r="E129" s="142"/>
      <c r="F129" s="124"/>
    </row>
    <row r="130" spans="1:6" s="91" customFormat="1" ht="25.5">
      <c r="A130" s="169">
        <f>A125+1</f>
        <v>29</v>
      </c>
      <c r="B130" s="157" t="s">
        <v>181</v>
      </c>
      <c r="C130" s="157" t="s">
        <v>141</v>
      </c>
      <c r="D130" s="117" t="s">
        <v>43</v>
      </c>
      <c r="E130" s="157" t="s">
        <v>20</v>
      </c>
      <c r="F130" s="186">
        <f>F131+F132</f>
        <v>293</v>
      </c>
    </row>
    <row r="131" spans="1:6" s="91" customFormat="1">
      <c r="A131" s="166"/>
      <c r="B131" s="167"/>
      <c r="C131" s="111"/>
      <c r="D131" s="143" t="s">
        <v>135</v>
      </c>
      <c r="E131" s="111" t="s">
        <v>20</v>
      </c>
      <c r="F131" s="112">
        <f>TRUNC((F126)/1.5*2)</f>
        <v>0</v>
      </c>
    </row>
    <row r="132" spans="1:6" s="91" customFormat="1">
      <c r="A132" s="166"/>
      <c r="B132" s="167"/>
      <c r="C132" s="111"/>
      <c r="D132" s="144" t="s">
        <v>134</v>
      </c>
      <c r="E132" s="111" t="s">
        <v>20</v>
      </c>
      <c r="F132" s="112">
        <f>TRUNC((F128)/1.5*2)</f>
        <v>293</v>
      </c>
    </row>
    <row r="133" spans="1:6" s="91" customFormat="1">
      <c r="A133" s="276" t="s">
        <v>209</v>
      </c>
      <c r="B133" s="277"/>
      <c r="C133" s="277"/>
      <c r="D133" s="277"/>
      <c r="E133" s="277"/>
      <c r="F133" s="277"/>
    </row>
    <row r="134" spans="1:6" s="91" customFormat="1">
      <c r="A134" s="154" t="s">
        <v>16</v>
      </c>
      <c r="B134" s="162" t="s">
        <v>166</v>
      </c>
      <c r="C134" s="162" t="s">
        <v>166</v>
      </c>
      <c r="D134" s="114" t="s">
        <v>32</v>
      </c>
      <c r="E134" s="145"/>
      <c r="F134" s="145"/>
    </row>
    <row r="135" spans="1:6" s="91" customFormat="1">
      <c r="A135" s="156" t="s">
        <v>16</v>
      </c>
      <c r="B135" s="126"/>
      <c r="C135" s="126" t="s">
        <v>142</v>
      </c>
      <c r="D135" s="146" t="s">
        <v>32</v>
      </c>
      <c r="E135" s="187"/>
      <c r="F135" s="187"/>
    </row>
    <row r="136" spans="1:6" ht="14.25">
      <c r="A136" s="158"/>
      <c r="B136" s="133"/>
      <c r="C136" s="159"/>
      <c r="D136" s="131" t="s">
        <v>37</v>
      </c>
      <c r="E136" s="184" t="s">
        <v>280</v>
      </c>
      <c r="F136" s="120">
        <v>640</v>
      </c>
    </row>
    <row r="137" spans="1:6">
      <c r="A137" s="166"/>
      <c r="B137" s="167"/>
      <c r="C137" s="111"/>
      <c r="D137" s="197" t="s">
        <v>240</v>
      </c>
      <c r="E137" s="142"/>
      <c r="F137" s="124"/>
    </row>
    <row r="138" spans="1:6" s="92" customFormat="1">
      <c r="A138" s="169">
        <f>A130+1</f>
        <v>30</v>
      </c>
      <c r="B138" s="157" t="s">
        <v>186</v>
      </c>
      <c r="C138" s="157" t="s">
        <v>165</v>
      </c>
      <c r="D138" s="117" t="s">
        <v>92</v>
      </c>
      <c r="E138" s="157"/>
      <c r="F138" s="157"/>
    </row>
    <row r="139" spans="1:6" s="86" customFormat="1">
      <c r="A139" s="166"/>
      <c r="B139" s="167"/>
      <c r="C139" s="111"/>
      <c r="D139" s="147" t="s">
        <v>93</v>
      </c>
      <c r="E139" s="142" t="s">
        <v>30</v>
      </c>
      <c r="F139" s="124">
        <f>138*4</f>
        <v>552</v>
      </c>
    </row>
    <row r="140" spans="1:6" s="86" customFormat="1">
      <c r="A140" s="166"/>
      <c r="B140" s="167"/>
      <c r="C140" s="111"/>
      <c r="D140" s="197" t="s">
        <v>245</v>
      </c>
      <c r="E140" s="204"/>
      <c r="F140" s="124"/>
    </row>
    <row r="141" spans="1:6" s="92" customFormat="1">
      <c r="A141" s="169">
        <f>A138+1</f>
        <v>31</v>
      </c>
      <c r="B141" s="157" t="s">
        <v>167</v>
      </c>
      <c r="C141" s="157" t="s">
        <v>167</v>
      </c>
      <c r="D141" s="117" t="s">
        <v>341</v>
      </c>
      <c r="E141" s="188" t="s">
        <v>30</v>
      </c>
      <c r="F141" s="236"/>
    </row>
    <row r="142" spans="1:6" s="92" customFormat="1">
      <c r="A142" s="169">
        <f>A141+1</f>
        <v>32</v>
      </c>
      <c r="B142" s="157" t="s">
        <v>185</v>
      </c>
      <c r="C142" s="157" t="s">
        <v>143</v>
      </c>
      <c r="D142" s="117" t="s">
        <v>95</v>
      </c>
      <c r="E142" s="189"/>
      <c r="F142" s="157"/>
    </row>
    <row r="143" spans="1:6">
      <c r="A143" s="158"/>
      <c r="B143" s="133"/>
      <c r="C143" s="159"/>
      <c r="D143" s="131" t="s">
        <v>145</v>
      </c>
      <c r="E143" s="119" t="s">
        <v>39</v>
      </c>
      <c r="F143" s="120">
        <v>0</v>
      </c>
    </row>
    <row r="144" spans="1:6">
      <c r="A144" s="158"/>
      <c r="B144" s="133"/>
      <c r="C144" s="159"/>
      <c r="D144" s="197" t="s">
        <v>264</v>
      </c>
      <c r="E144" s="119"/>
      <c r="F144" s="120"/>
    </row>
    <row r="145" spans="1:7">
      <c r="A145" s="158"/>
      <c r="B145" s="133"/>
      <c r="C145" s="159"/>
      <c r="D145" s="131" t="s">
        <v>144</v>
      </c>
      <c r="E145" s="119" t="s">
        <v>39</v>
      </c>
      <c r="F145" s="120">
        <v>0</v>
      </c>
    </row>
    <row r="146" spans="1:7">
      <c r="A146" s="158"/>
      <c r="B146" s="133"/>
      <c r="C146" s="159"/>
      <c r="D146" s="197" t="s">
        <v>264</v>
      </c>
      <c r="E146" s="119"/>
      <c r="F146" s="120"/>
    </row>
    <row r="147" spans="1:7">
      <c r="A147" s="158"/>
      <c r="B147" s="133"/>
      <c r="C147" s="159"/>
      <c r="D147" s="131" t="s">
        <v>146</v>
      </c>
      <c r="E147" s="119" t="s">
        <v>39</v>
      </c>
      <c r="F147" s="120">
        <f>(137*6+8*13.8+8)*87.2/138</f>
        <v>594.22376811594211</v>
      </c>
    </row>
    <row r="148" spans="1:7">
      <c r="A148" s="158"/>
      <c r="B148" s="133"/>
      <c r="C148" s="159"/>
      <c r="D148" s="197" t="s">
        <v>247</v>
      </c>
      <c r="E148" s="119"/>
      <c r="F148" s="120"/>
    </row>
    <row r="149" spans="1:7" s="91" customFormat="1" ht="25.5">
      <c r="A149" s="169">
        <f>A142+1</f>
        <v>33</v>
      </c>
      <c r="B149" s="157" t="s">
        <v>184</v>
      </c>
      <c r="C149" s="157" t="s">
        <v>195</v>
      </c>
      <c r="D149" s="117" t="s">
        <v>52</v>
      </c>
      <c r="E149" s="157"/>
      <c r="F149" s="157"/>
    </row>
    <row r="150" spans="1:7">
      <c r="A150" s="158"/>
      <c r="B150" s="133"/>
      <c r="C150" s="159"/>
      <c r="D150" s="131" t="s">
        <v>33</v>
      </c>
      <c r="E150" s="119" t="s">
        <v>20</v>
      </c>
      <c r="F150" s="120">
        <v>12</v>
      </c>
    </row>
    <row r="151" spans="1:7">
      <c r="A151" s="166"/>
      <c r="B151" s="167"/>
      <c r="C151" s="111"/>
      <c r="D151" s="148" t="s">
        <v>34</v>
      </c>
      <c r="E151" s="190" t="s">
        <v>20</v>
      </c>
      <c r="F151" s="191">
        <v>1</v>
      </c>
    </row>
    <row r="152" spans="1:7" s="84" customFormat="1" ht="25.5">
      <c r="A152" s="169">
        <f>A149+1</f>
        <v>34</v>
      </c>
      <c r="B152" s="157" t="s">
        <v>183</v>
      </c>
      <c r="C152" s="157" t="s">
        <v>147</v>
      </c>
      <c r="D152" s="117" t="s">
        <v>276</v>
      </c>
      <c r="E152" s="157" t="s">
        <v>23</v>
      </c>
      <c r="F152" s="192">
        <v>0.5</v>
      </c>
      <c r="G152" s="83"/>
    </row>
    <row r="153" spans="1:7" s="84" customFormat="1" ht="26.25" thickBot="1">
      <c r="A153" s="170">
        <f>A152+1</f>
        <v>35</v>
      </c>
      <c r="B153" s="171" t="s">
        <v>182</v>
      </c>
      <c r="C153" s="171" t="s">
        <v>148</v>
      </c>
      <c r="D153" s="149" t="s">
        <v>346</v>
      </c>
      <c r="E153" s="171" t="s">
        <v>23</v>
      </c>
      <c r="F153" s="193">
        <v>0.5</v>
      </c>
      <c r="G153" s="91"/>
    </row>
    <row r="154" spans="1:7">
      <c r="A154" s="150"/>
      <c r="B154" s="150"/>
      <c r="C154" s="151"/>
      <c r="D154" s="194"/>
      <c r="E154" s="194"/>
      <c r="F154" s="118"/>
    </row>
    <row r="155" spans="1:7">
      <c r="A155" s="150"/>
      <c r="B155" s="150"/>
      <c r="C155" s="151"/>
      <c r="F155" s="118"/>
    </row>
    <row r="156" spans="1:7" ht="13.5" hidden="1" thickBot="1">
      <c r="A156" s="150"/>
      <c r="B156" s="150"/>
      <c r="C156" s="151"/>
      <c r="D156" s="152" t="s">
        <v>115</v>
      </c>
      <c r="E156" s="268" t="s">
        <v>116</v>
      </c>
      <c r="F156" s="269"/>
    </row>
    <row r="157" spans="1:7" hidden="1">
      <c r="A157" s="150"/>
      <c r="B157" s="150"/>
      <c r="C157" s="151"/>
      <c r="D157" s="195" t="s">
        <v>126</v>
      </c>
      <c r="E157" s="266" t="e">
        <f>#REF!+#REF!+#REF!+#REF!+#REF!+#REF!+#REF!+#REF!+#REF!+#REF!+#REF!+#REF!+#REF!+#REF!+#REF!+#REF!+#REF!+#REF!+#REF!+#REF!+#REF!+#REF!+#REF!+++#REF!+#REF!</f>
        <v>#REF!</v>
      </c>
      <c r="F157" s="267"/>
    </row>
    <row r="158" spans="1:7" ht="13.5" hidden="1" thickBot="1">
      <c r="A158" s="150"/>
      <c r="B158" s="150"/>
      <c r="C158" s="151"/>
      <c r="D158" s="196" t="s">
        <v>101</v>
      </c>
      <c r="E158" s="264" t="e">
        <f>#REF!+#REF!+#REF!+#REF!+#REF!+#REF!+#REF!+#REF!+#REF!+#REF!+#REF!+#REF!+#REF!++#REF!+#REF!+#REF!+#REF!+#REF!+#REF!+#REF!+#REF!+#REF!+#REF!+#REF!+#REF!</f>
        <v>#REF!</v>
      </c>
      <c r="F158" s="265"/>
    </row>
    <row r="159" spans="1:7" ht="13.5" hidden="1" thickBot="1">
      <c r="D159" s="153"/>
      <c r="E159" s="262" t="e">
        <f>E157+E158</f>
        <v>#REF!</v>
      </c>
      <c r="F159" s="263"/>
    </row>
    <row r="160" spans="1:7" hidden="1">
      <c r="A160" s="98" t="s">
        <v>36</v>
      </c>
      <c r="B160" s="93"/>
      <c r="C160" s="96"/>
    </row>
  </sheetData>
  <mergeCells count="12">
    <mergeCell ref="E158:F158"/>
    <mergeCell ref="E159:F159"/>
    <mergeCell ref="A103:F103"/>
    <mergeCell ref="A118:F118"/>
    <mergeCell ref="A133:F133"/>
    <mergeCell ref="E156:F156"/>
    <mergeCell ref="E157:F157"/>
    <mergeCell ref="A96:F96"/>
    <mergeCell ref="A1:F1"/>
    <mergeCell ref="A2:F2"/>
    <mergeCell ref="A47:F47"/>
    <mergeCell ref="A54:F54"/>
  </mergeCells>
  <pageMargins left="0.25" right="0.25" top="0.75" bottom="0.75" header="0.3" footer="0.3"/>
  <pageSetup paperSize="9" scale="85" fitToHeight="0" orientation="portrait" r:id="rId1"/>
  <headerFooter alignWithMargins="0">
    <oddHeader>&amp;R2. Branża Konstrukcyjna- Mostowa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F8E0D-2E84-4D6D-BAED-26A63413D5F7}">
  <sheetPr>
    <tabColor theme="7" tint="0.59999389629810485"/>
  </sheetPr>
  <dimension ref="A1:K35"/>
  <sheetViews>
    <sheetView view="pageLayout" topLeftCell="A7" zoomScale="85" zoomScaleNormal="85" zoomScaleSheetLayoutView="85" zoomScalePageLayoutView="85" workbookViewId="0">
      <selection activeCell="C42" sqref="C42"/>
    </sheetView>
  </sheetViews>
  <sheetFormatPr defaultRowHeight="12.75"/>
  <cols>
    <col min="1" max="1" width="4.28515625" customWidth="1"/>
    <col min="2" max="2" width="9.7109375" customWidth="1"/>
    <col min="3" max="3" width="94.7109375" customWidth="1"/>
    <col min="4" max="4" width="6.28515625" bestFit="1" customWidth="1"/>
    <col min="5" max="5" width="10.7109375" customWidth="1"/>
    <col min="6" max="6" width="25.42578125" customWidth="1"/>
  </cols>
  <sheetData>
    <row r="1" spans="1:11" ht="67.5" customHeight="1">
      <c r="A1" s="279" t="s">
        <v>127</v>
      </c>
      <c r="B1" s="280"/>
      <c r="C1" s="280"/>
      <c r="D1" s="280"/>
      <c r="E1" s="281"/>
    </row>
    <row r="2" spans="1:11" ht="46.9" customHeight="1">
      <c r="A2" s="282" t="s">
        <v>349</v>
      </c>
      <c r="B2" s="283"/>
      <c r="C2" s="283"/>
      <c r="D2" s="283"/>
      <c r="E2" s="284"/>
    </row>
    <row r="3" spans="1:11" ht="25.5">
      <c r="A3" s="251" t="s">
        <v>0</v>
      </c>
      <c r="B3" s="218" t="s">
        <v>319</v>
      </c>
      <c r="C3" s="218" t="s">
        <v>7</v>
      </c>
      <c r="D3" s="218" t="s">
        <v>8</v>
      </c>
      <c r="E3" s="252" t="s">
        <v>9</v>
      </c>
    </row>
    <row r="4" spans="1:11">
      <c r="A4" s="103" t="s">
        <v>198</v>
      </c>
      <c r="B4" s="104" t="s">
        <v>199</v>
      </c>
      <c r="C4" s="104" t="s">
        <v>200</v>
      </c>
      <c r="D4" s="104" t="s">
        <v>201</v>
      </c>
      <c r="E4" s="253" t="s">
        <v>202</v>
      </c>
    </row>
    <row r="5" spans="1:11" ht="26.25" customHeight="1">
      <c r="A5" s="221">
        <v>1</v>
      </c>
      <c r="B5" s="215" t="s">
        <v>317</v>
      </c>
      <c r="C5" s="217" t="s">
        <v>318</v>
      </c>
      <c r="D5" s="213"/>
      <c r="E5" s="254"/>
    </row>
    <row r="6" spans="1:11" ht="13.15" customHeight="1">
      <c r="A6" s="222">
        <v>1.1000000000000001</v>
      </c>
      <c r="B6" s="210"/>
      <c r="C6" s="82" t="s">
        <v>121</v>
      </c>
      <c r="D6" s="216" t="s">
        <v>19</v>
      </c>
      <c r="E6" s="255">
        <f>906</f>
        <v>906</v>
      </c>
    </row>
    <row r="7" spans="1:11">
      <c r="A7" s="222">
        <v>1.2</v>
      </c>
      <c r="B7" s="210"/>
      <c r="C7" s="82" t="s">
        <v>122</v>
      </c>
      <c r="D7" s="216" t="s">
        <v>19</v>
      </c>
      <c r="E7" s="255">
        <f>906</f>
        <v>906</v>
      </c>
    </row>
    <row r="8" spans="1:11">
      <c r="A8" s="223">
        <v>2</v>
      </c>
      <c r="B8" s="215" t="s">
        <v>317</v>
      </c>
      <c r="C8" s="214" t="s">
        <v>316</v>
      </c>
      <c r="D8" s="213"/>
      <c r="E8" s="254"/>
    </row>
    <row r="9" spans="1:11" ht="15">
      <c r="A9" s="224"/>
      <c r="B9" s="212"/>
      <c r="C9" s="21" t="s">
        <v>315</v>
      </c>
      <c r="D9" s="211"/>
      <c r="E9" s="256"/>
    </row>
    <row r="10" spans="1:11" ht="15">
      <c r="A10" s="225">
        <v>2.1</v>
      </c>
      <c r="B10" s="210"/>
      <c r="C10" s="209" t="s">
        <v>314</v>
      </c>
      <c r="D10" s="208" t="s">
        <v>287</v>
      </c>
      <c r="E10" s="257">
        <v>0.23</v>
      </c>
    </row>
    <row r="11" spans="1:11" ht="15">
      <c r="A11" s="225">
        <v>2.2000000000000002</v>
      </c>
      <c r="B11" s="210"/>
      <c r="C11" s="209" t="s">
        <v>313</v>
      </c>
      <c r="D11" s="208" t="s">
        <v>23</v>
      </c>
      <c r="E11" s="257">
        <v>3</v>
      </c>
      <c r="F11" s="289"/>
      <c r="G11" s="289"/>
      <c r="H11" s="289"/>
      <c r="I11" s="289"/>
      <c r="J11" s="289"/>
      <c r="K11" s="289"/>
    </row>
    <row r="12" spans="1:11" ht="15">
      <c r="A12" s="225">
        <v>2.2999999999999998</v>
      </c>
      <c r="B12" s="210"/>
      <c r="C12" s="209" t="s">
        <v>312</v>
      </c>
      <c r="D12" s="208" t="s">
        <v>19</v>
      </c>
      <c r="E12" s="258">
        <f>0.9*0.6*0.5*230*2+(0.6*8.275*230)</f>
        <v>1266.1500000000001</v>
      </c>
      <c r="F12" s="289"/>
      <c r="G12" s="289"/>
      <c r="H12" s="289"/>
      <c r="I12" s="289"/>
      <c r="J12" s="289"/>
      <c r="K12" s="289"/>
    </row>
    <row r="13" spans="1:11" ht="15">
      <c r="A13" s="225">
        <v>2.4</v>
      </c>
      <c r="B13" s="210"/>
      <c r="C13" s="209" t="s">
        <v>311</v>
      </c>
      <c r="D13" s="208" t="s">
        <v>308</v>
      </c>
      <c r="E13" s="257">
        <f>230*50/1000</f>
        <v>11.5</v>
      </c>
      <c r="F13" s="289"/>
      <c r="G13" s="289"/>
      <c r="H13" s="289"/>
      <c r="I13" s="289"/>
      <c r="J13" s="290" t="s">
        <v>310</v>
      </c>
      <c r="K13" s="289"/>
    </row>
    <row r="14" spans="1:11" ht="15">
      <c r="A14" s="225">
        <v>2.5</v>
      </c>
      <c r="B14" s="210"/>
      <c r="C14" s="209" t="s">
        <v>309</v>
      </c>
      <c r="D14" s="208" t="s">
        <v>308</v>
      </c>
      <c r="E14" s="257">
        <f>(230*50)/1000+E11*17.5</f>
        <v>64</v>
      </c>
      <c r="F14" s="289"/>
      <c r="G14" s="289"/>
      <c r="H14" s="289"/>
      <c r="I14" s="289"/>
      <c r="J14" s="289"/>
      <c r="K14" s="289"/>
    </row>
    <row r="15" spans="1:11" ht="15">
      <c r="A15" s="225">
        <v>2.6</v>
      </c>
      <c r="B15" s="210"/>
      <c r="C15" s="209" t="s">
        <v>307</v>
      </c>
      <c r="D15" s="208" t="s">
        <v>20</v>
      </c>
      <c r="E15" s="257">
        <v>384</v>
      </c>
      <c r="F15" s="289"/>
      <c r="G15" s="289"/>
      <c r="H15" s="289"/>
      <c r="I15" s="289"/>
      <c r="J15" s="289"/>
      <c r="K15" s="289"/>
    </row>
    <row r="16" spans="1:11" ht="15">
      <c r="A16" s="224"/>
      <c r="B16" s="212"/>
      <c r="C16" s="21" t="s">
        <v>306</v>
      </c>
      <c r="D16" s="211"/>
      <c r="E16" s="256"/>
      <c r="F16" s="289"/>
      <c r="G16" s="289"/>
      <c r="H16" s="289"/>
      <c r="I16" s="289"/>
      <c r="J16" s="289"/>
      <c r="K16" s="289"/>
    </row>
    <row r="17" spans="1:11" ht="30">
      <c r="A17" s="225">
        <v>2.7</v>
      </c>
      <c r="B17" s="210"/>
      <c r="C17" s="209" t="s">
        <v>305</v>
      </c>
      <c r="D17" s="208" t="s">
        <v>19</v>
      </c>
      <c r="E17" s="257">
        <f>E12</f>
        <v>1266.1500000000001</v>
      </c>
      <c r="F17" s="289"/>
      <c r="G17" s="289"/>
      <c r="H17" s="289"/>
      <c r="I17" s="289"/>
      <c r="J17" s="289">
        <f>230*170.44</f>
        <v>39201.199999999997</v>
      </c>
      <c r="K17" s="289"/>
    </row>
    <row r="18" spans="1:11" ht="15">
      <c r="A18" s="225">
        <v>2.8</v>
      </c>
      <c r="B18" s="210"/>
      <c r="C18" s="209" t="s">
        <v>304</v>
      </c>
      <c r="D18" s="208" t="s">
        <v>19</v>
      </c>
      <c r="E18" s="257">
        <f>34.5*16.8*0.55</f>
        <v>318.78000000000003</v>
      </c>
      <c r="F18" s="289"/>
      <c r="G18" s="289"/>
      <c r="H18" s="289"/>
      <c r="I18" s="289">
        <f>E14/E10</f>
        <v>278.26086956521738</v>
      </c>
      <c r="J18" s="289"/>
      <c r="K18" s="289"/>
    </row>
    <row r="19" spans="1:11" ht="30">
      <c r="A19" s="225">
        <v>2.9</v>
      </c>
      <c r="B19" s="210"/>
      <c r="C19" s="209" t="s">
        <v>303</v>
      </c>
      <c r="D19" s="208" t="s">
        <v>287</v>
      </c>
      <c r="E19" s="257" t="s">
        <v>301</v>
      </c>
      <c r="F19" s="289"/>
      <c r="G19" s="289"/>
      <c r="H19" s="289"/>
      <c r="I19" s="289"/>
      <c r="J19" s="289"/>
      <c r="K19" s="289"/>
    </row>
    <row r="20" spans="1:11" ht="30">
      <c r="A20" s="225">
        <v>3</v>
      </c>
      <c r="B20" s="210"/>
      <c r="C20" s="209" t="s">
        <v>302</v>
      </c>
      <c r="D20" s="208" t="s">
        <v>287</v>
      </c>
      <c r="E20" s="257" t="s">
        <v>301</v>
      </c>
      <c r="F20" s="289"/>
      <c r="G20" s="289"/>
      <c r="H20" s="289"/>
      <c r="I20" s="289"/>
      <c r="J20" s="289"/>
      <c r="K20" s="289"/>
    </row>
    <row r="21" spans="1:11" ht="15">
      <c r="A21" s="225">
        <v>3.1</v>
      </c>
      <c r="B21" s="210"/>
      <c r="C21" s="209" t="s">
        <v>300</v>
      </c>
      <c r="D21" s="208" t="s">
        <v>299</v>
      </c>
      <c r="E21" s="257" t="s">
        <v>294</v>
      </c>
      <c r="F21" s="289"/>
      <c r="G21" s="289"/>
      <c r="H21" s="289"/>
      <c r="I21" s="289"/>
      <c r="J21" s="289"/>
      <c r="K21" s="289"/>
    </row>
    <row r="22" spans="1:11" ht="15">
      <c r="A22" s="225">
        <v>3.2</v>
      </c>
      <c r="B22" s="210"/>
      <c r="C22" s="209" t="s">
        <v>298</v>
      </c>
      <c r="D22" s="208" t="s">
        <v>30</v>
      </c>
      <c r="E22" s="257" t="s">
        <v>297</v>
      </c>
      <c r="F22" s="289"/>
      <c r="G22" s="289"/>
      <c r="H22" s="289"/>
      <c r="I22" s="289"/>
      <c r="J22" s="289"/>
      <c r="K22" s="289"/>
    </row>
    <row r="23" spans="1:11" ht="30">
      <c r="A23" s="225">
        <v>3.3</v>
      </c>
      <c r="B23" s="210"/>
      <c r="C23" s="209" t="s">
        <v>296</v>
      </c>
      <c r="D23" s="208" t="s">
        <v>295</v>
      </c>
      <c r="E23" s="257" t="s">
        <v>294</v>
      </c>
      <c r="F23" s="289"/>
      <c r="G23" s="289"/>
      <c r="H23" s="289"/>
      <c r="I23" s="289"/>
      <c r="J23" s="289"/>
      <c r="K23" s="289"/>
    </row>
    <row r="24" spans="1:11" ht="15">
      <c r="A24" s="225">
        <v>3.4</v>
      </c>
      <c r="B24" s="210"/>
      <c r="C24" s="209" t="s">
        <v>293</v>
      </c>
      <c r="D24" s="208" t="s">
        <v>292</v>
      </c>
      <c r="E24" s="257" t="s">
        <v>291</v>
      </c>
      <c r="F24" s="289"/>
      <c r="G24" s="289"/>
      <c r="H24" s="289"/>
      <c r="I24" s="289"/>
      <c r="J24" s="289"/>
      <c r="K24" s="289"/>
    </row>
    <row r="25" spans="1:11" ht="30">
      <c r="A25" s="225">
        <v>3.5</v>
      </c>
      <c r="B25" s="210"/>
      <c r="C25" s="209" t="s">
        <v>290</v>
      </c>
      <c r="D25" s="208" t="s">
        <v>19</v>
      </c>
      <c r="E25" s="257" t="s">
        <v>289</v>
      </c>
      <c r="F25" s="289"/>
      <c r="G25" s="289"/>
      <c r="H25" s="289"/>
      <c r="I25" s="289"/>
      <c r="J25" s="289"/>
      <c r="K25" s="289"/>
    </row>
    <row r="26" spans="1:11" ht="30">
      <c r="A26" s="225">
        <v>2.9</v>
      </c>
      <c r="B26" s="210"/>
      <c r="C26" s="209" t="s">
        <v>288</v>
      </c>
      <c r="D26" s="208" t="s">
        <v>287</v>
      </c>
      <c r="E26" s="257">
        <f>E10</f>
        <v>0.23</v>
      </c>
      <c r="F26" s="289"/>
      <c r="G26" s="289"/>
      <c r="H26" s="289"/>
      <c r="I26" s="289"/>
      <c r="J26" s="289"/>
      <c r="K26" s="289"/>
    </row>
    <row r="27" spans="1:11" ht="15">
      <c r="A27" s="225" t="s">
        <v>286</v>
      </c>
      <c r="B27" s="210"/>
      <c r="C27" s="209" t="s">
        <v>285</v>
      </c>
      <c r="D27" s="208" t="s">
        <v>23</v>
      </c>
      <c r="E27" s="257">
        <v>3</v>
      </c>
      <c r="F27" s="289"/>
      <c r="G27" s="289"/>
      <c r="H27" s="289"/>
      <c r="I27" s="289"/>
      <c r="J27" s="289"/>
      <c r="K27" s="289"/>
    </row>
    <row r="28" spans="1:11" ht="30">
      <c r="A28" s="225" t="s">
        <v>284</v>
      </c>
      <c r="B28" s="210"/>
      <c r="C28" s="209" t="s">
        <v>283</v>
      </c>
      <c r="D28" s="208" t="s">
        <v>19</v>
      </c>
      <c r="E28" s="257">
        <f>0.9*0.23*0.5*230*2+(0.23*8.275*230)</f>
        <v>485.35750000000002</v>
      </c>
      <c r="F28" s="289"/>
      <c r="G28" s="289"/>
      <c r="H28" s="289"/>
      <c r="I28" s="289"/>
      <c r="J28" s="289"/>
      <c r="K28" s="289"/>
    </row>
    <row r="29" spans="1:11" ht="15">
      <c r="A29" s="225" t="s">
        <v>282</v>
      </c>
      <c r="B29" s="210"/>
      <c r="C29" s="209" t="s">
        <v>281</v>
      </c>
      <c r="D29" s="208" t="s">
        <v>29</v>
      </c>
      <c r="E29" s="257">
        <f>230*8.23</f>
        <v>1892.9</v>
      </c>
      <c r="F29" s="289"/>
      <c r="G29" s="289"/>
      <c r="H29" s="289"/>
      <c r="I29" s="289"/>
      <c r="J29" s="289"/>
      <c r="K29" s="289"/>
    </row>
    <row r="30" spans="1:11" ht="15.75" thickBot="1">
      <c r="A30" s="226" t="s">
        <v>347</v>
      </c>
      <c r="B30" s="227"/>
      <c r="C30" s="228" t="s">
        <v>348</v>
      </c>
      <c r="D30" s="229" t="s">
        <v>299</v>
      </c>
      <c r="E30" s="259">
        <v>1</v>
      </c>
      <c r="F30" s="289"/>
      <c r="G30" s="289"/>
      <c r="H30" s="289"/>
      <c r="I30" s="289"/>
      <c r="J30" s="289"/>
      <c r="K30" s="289"/>
    </row>
    <row r="32" spans="1:11" hidden="1"/>
    <row r="33" spans="1:5" ht="25.5" hidden="1" customHeight="1">
      <c r="A33" s="278" t="s">
        <v>123</v>
      </c>
      <c r="B33" s="278"/>
      <c r="C33" s="278"/>
      <c r="D33" s="278"/>
      <c r="E33" s="278"/>
    </row>
    <row r="34" spans="1:5" hidden="1"/>
    <row r="35" spans="1:5" hidden="1"/>
  </sheetData>
  <mergeCells count="3">
    <mergeCell ref="A33:E33"/>
    <mergeCell ref="A1:E1"/>
    <mergeCell ref="A2:E2"/>
  </mergeCells>
  <phoneticPr fontId="2" type="noConversion"/>
  <pageMargins left="0.25" right="0.25" top="0.75" bottom="0.75" header="0.3" footer="0.3"/>
  <pageSetup paperSize="9" scale="80" orientation="portrait" r:id="rId1"/>
  <headerFooter>
    <oddHeader>&amp;R2. Branża Konstrukcyjna- Mostowa</oddHeader>
  </headerFooter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50117-A44C-4A6A-9664-71862A0B433E}">
  <sheetPr>
    <tabColor rgb="FFFF0000"/>
  </sheetPr>
  <dimension ref="A1:H29"/>
  <sheetViews>
    <sheetView tabSelected="1" view="pageLayout" zoomScaleNormal="100" zoomScaleSheetLayoutView="100" workbookViewId="0">
      <selection activeCell="E32" sqref="E32"/>
    </sheetView>
  </sheetViews>
  <sheetFormatPr defaultRowHeight="12.75"/>
  <cols>
    <col min="1" max="1" width="4.140625" customWidth="1"/>
    <col min="2" max="2" width="15.28515625" customWidth="1"/>
    <col min="3" max="3" width="80.140625" customWidth="1"/>
    <col min="4" max="4" width="8.7109375" customWidth="1"/>
    <col min="5" max="5" width="10.5703125" customWidth="1"/>
  </cols>
  <sheetData>
    <row r="1" spans="1:8" ht="59.25" customHeight="1">
      <c r="A1" s="270" t="s">
        <v>127</v>
      </c>
      <c r="B1" s="270"/>
      <c r="C1" s="270"/>
      <c r="D1" s="270"/>
      <c r="E1" s="270"/>
    </row>
    <row r="2" spans="1:8" ht="42" customHeight="1" thickBot="1">
      <c r="A2" s="271" t="s">
        <v>340</v>
      </c>
      <c r="B2" s="271"/>
      <c r="C2" s="271"/>
      <c r="D2" s="271"/>
      <c r="E2" s="271"/>
    </row>
    <row r="3" spans="1:8" ht="13.5" thickBot="1">
      <c r="A3" s="72" t="s">
        <v>0</v>
      </c>
      <c r="B3" s="230" t="s">
        <v>319</v>
      </c>
      <c r="C3" s="73" t="s">
        <v>7</v>
      </c>
      <c r="D3" s="73" t="s">
        <v>8</v>
      </c>
      <c r="E3" s="74" t="s">
        <v>9</v>
      </c>
    </row>
    <row r="4" spans="1:8">
      <c r="A4" s="103" t="s">
        <v>198</v>
      </c>
      <c r="B4" s="104" t="s">
        <v>199</v>
      </c>
      <c r="C4" s="104" t="s">
        <v>201</v>
      </c>
      <c r="D4" s="104" t="s">
        <v>202</v>
      </c>
      <c r="E4" s="105" t="s">
        <v>203</v>
      </c>
    </row>
    <row r="5" spans="1:8">
      <c r="A5" s="75"/>
      <c r="B5" s="285" t="s">
        <v>325</v>
      </c>
      <c r="C5" s="286"/>
      <c r="D5" s="286"/>
      <c r="E5" s="286"/>
    </row>
    <row r="6" spans="1:8">
      <c r="A6" s="76" t="s">
        <v>16</v>
      </c>
      <c r="B6" s="90" t="s">
        <v>166</v>
      </c>
      <c r="C6" s="28" t="s">
        <v>21</v>
      </c>
      <c r="D6" s="77"/>
      <c r="E6" s="78"/>
    </row>
    <row r="7" spans="1:8" ht="55.15" customHeight="1">
      <c r="A7" s="89">
        <v>1</v>
      </c>
      <c r="B7" s="89" t="s">
        <v>174</v>
      </c>
      <c r="C7" s="87" t="s">
        <v>163</v>
      </c>
      <c r="D7" s="89"/>
      <c r="E7" s="89"/>
    </row>
    <row r="8" spans="1:8">
      <c r="A8" s="79"/>
      <c r="B8" s="79"/>
      <c r="C8" s="94" t="s">
        <v>80</v>
      </c>
      <c r="D8" s="80" t="s">
        <v>22</v>
      </c>
      <c r="E8" s="81">
        <f>1079+2462+7392+4808+4616+1121+1225+985</f>
        <v>23688</v>
      </c>
    </row>
    <row r="9" spans="1:8">
      <c r="A9" s="79"/>
      <c r="B9" s="231"/>
      <c r="C9" s="232" t="s">
        <v>336</v>
      </c>
      <c r="D9" s="234"/>
      <c r="E9" s="235"/>
    </row>
    <row r="10" spans="1:8">
      <c r="A10" s="75"/>
      <c r="B10" s="285" t="s">
        <v>326</v>
      </c>
      <c r="C10" s="286"/>
      <c r="D10" s="286"/>
      <c r="E10" s="286"/>
      <c r="F10" s="289"/>
      <c r="G10" s="289"/>
      <c r="H10" s="289"/>
    </row>
    <row r="11" spans="1:8">
      <c r="A11" s="76" t="s">
        <v>16</v>
      </c>
      <c r="B11" s="90" t="s">
        <v>166</v>
      </c>
      <c r="C11" s="28" t="s">
        <v>24</v>
      </c>
      <c r="D11" s="77"/>
      <c r="E11" s="78"/>
      <c r="F11" s="289"/>
      <c r="G11" s="289"/>
      <c r="H11" s="289"/>
    </row>
    <row r="12" spans="1:8">
      <c r="A12" s="89">
        <f>A7+1</f>
        <v>2</v>
      </c>
      <c r="B12" s="89" t="s">
        <v>175</v>
      </c>
      <c r="C12" s="87" t="s">
        <v>94</v>
      </c>
      <c r="D12" s="89"/>
      <c r="E12" s="89"/>
      <c r="F12" s="289"/>
      <c r="G12" s="289"/>
      <c r="H12" s="289"/>
    </row>
    <row r="13" spans="1:8">
      <c r="A13" s="79"/>
      <c r="B13" s="79"/>
      <c r="C13" s="95" t="s">
        <v>81</v>
      </c>
      <c r="D13" s="80" t="s">
        <v>19</v>
      </c>
      <c r="E13" s="81">
        <v>108</v>
      </c>
      <c r="F13" s="289"/>
      <c r="G13" s="289">
        <f>5+11.3+33.9+4.95+20.6+21.8+4.35+5.45</f>
        <v>107.35</v>
      </c>
      <c r="H13" s="289"/>
    </row>
    <row r="14" spans="1:8">
      <c r="A14" s="79"/>
      <c r="B14" s="79"/>
      <c r="C14" s="232" t="s">
        <v>332</v>
      </c>
      <c r="D14" s="80"/>
      <c r="E14" s="237"/>
      <c r="F14" s="289"/>
      <c r="G14" s="289"/>
      <c r="H14" s="289"/>
    </row>
    <row r="15" spans="1:8">
      <c r="A15" s="89">
        <f>A12+1</f>
        <v>3</v>
      </c>
      <c r="B15" s="89" t="s">
        <v>176</v>
      </c>
      <c r="C15" s="87" t="s">
        <v>25</v>
      </c>
      <c r="D15" s="89"/>
      <c r="E15" s="89"/>
      <c r="F15" s="289"/>
      <c r="G15" s="289"/>
      <c r="H15" s="289"/>
    </row>
    <row r="16" spans="1:8">
      <c r="A16" s="79"/>
      <c r="B16" s="79"/>
      <c r="C16" s="94" t="s">
        <v>329</v>
      </c>
      <c r="D16" s="80"/>
      <c r="E16" s="81"/>
      <c r="F16" s="289"/>
      <c r="G16" s="289"/>
      <c r="H16" s="289"/>
    </row>
    <row r="17" spans="1:8">
      <c r="A17" s="79"/>
      <c r="B17" s="79"/>
      <c r="C17" s="94" t="s">
        <v>110</v>
      </c>
      <c r="D17" s="80" t="s">
        <v>19</v>
      </c>
      <c r="E17" s="81">
        <v>24</v>
      </c>
      <c r="F17" s="289"/>
      <c r="G17" s="289">
        <f>2.4+1.05+7.2+1.2+4.8+4.8+1.05+1.3</f>
        <v>23.8</v>
      </c>
      <c r="H17" s="289"/>
    </row>
    <row r="18" spans="1:8">
      <c r="A18" s="79"/>
      <c r="B18" s="231"/>
      <c r="C18" s="232" t="s">
        <v>330</v>
      </c>
      <c r="D18" s="234"/>
      <c r="E18" s="235"/>
      <c r="F18" s="289"/>
      <c r="G18" s="289"/>
      <c r="H18" s="289"/>
    </row>
    <row r="19" spans="1:8">
      <c r="A19" s="75"/>
      <c r="B19" s="285" t="s">
        <v>327</v>
      </c>
      <c r="C19" s="286"/>
      <c r="D19" s="286"/>
      <c r="E19" s="286"/>
      <c r="F19" s="289"/>
      <c r="G19" s="289"/>
      <c r="H19" s="289"/>
    </row>
    <row r="20" spans="1:8">
      <c r="A20" s="90" t="s">
        <v>16</v>
      </c>
      <c r="B20" s="90" t="s">
        <v>166</v>
      </c>
      <c r="C20" s="233" t="s">
        <v>28</v>
      </c>
      <c r="D20" s="90"/>
      <c r="E20" s="90"/>
      <c r="F20" s="289"/>
      <c r="G20" s="289"/>
      <c r="H20" s="289"/>
    </row>
    <row r="21" spans="1:8" ht="26.25" customHeight="1">
      <c r="A21" s="89">
        <f>A15+1</f>
        <v>4</v>
      </c>
      <c r="B21" s="89" t="s">
        <v>178</v>
      </c>
      <c r="C21" s="87" t="s">
        <v>50</v>
      </c>
      <c r="D21" s="89"/>
      <c r="E21" s="89"/>
      <c r="F21" s="289"/>
      <c r="G21" s="289"/>
      <c r="H21" s="289"/>
    </row>
    <row r="22" spans="1:8">
      <c r="A22" s="79"/>
      <c r="B22" s="79"/>
      <c r="C22" s="95" t="s">
        <v>120</v>
      </c>
      <c r="D22" s="80" t="s">
        <v>29</v>
      </c>
      <c r="E22" s="81">
        <f>8.54*(54.413+47.178)</f>
        <v>867.58713999999986</v>
      </c>
    </row>
    <row r="23" spans="1:8">
      <c r="A23" s="79"/>
      <c r="B23" s="79"/>
      <c r="C23" s="232" t="s">
        <v>333</v>
      </c>
      <c r="D23" s="287"/>
      <c r="E23" s="288"/>
    </row>
    <row r="24" spans="1:8" ht="18" customHeight="1">
      <c r="A24" s="89">
        <f>A21+1</f>
        <v>5</v>
      </c>
      <c r="B24" s="89" t="s">
        <v>331</v>
      </c>
      <c r="C24" s="87" t="s">
        <v>51</v>
      </c>
      <c r="D24" s="89"/>
      <c r="E24" s="89"/>
    </row>
    <row r="25" spans="1:8">
      <c r="A25" s="79"/>
      <c r="B25" s="79"/>
      <c r="C25" s="95" t="s">
        <v>120</v>
      </c>
      <c r="D25" s="80" t="s">
        <v>29</v>
      </c>
      <c r="E25" s="81">
        <f>1.3*(54.413+47.178)</f>
        <v>132.06829999999999</v>
      </c>
    </row>
    <row r="26" spans="1:8">
      <c r="A26" s="79"/>
      <c r="B26" s="79"/>
      <c r="C26" s="232" t="s">
        <v>334</v>
      </c>
      <c r="D26" s="287"/>
      <c r="E26" s="288"/>
    </row>
    <row r="27" spans="1:8">
      <c r="A27" s="75"/>
      <c r="B27" s="285" t="s">
        <v>328</v>
      </c>
      <c r="C27" s="286"/>
      <c r="D27" s="286"/>
      <c r="E27" s="286"/>
    </row>
    <row r="28" spans="1:8">
      <c r="A28" s="88">
        <f>A24+1</f>
        <v>6</v>
      </c>
      <c r="B28" s="88" t="s">
        <v>140</v>
      </c>
      <c r="C28" s="233" t="s">
        <v>136</v>
      </c>
      <c r="D28" s="88" t="s">
        <v>30</v>
      </c>
      <c r="E28" s="88">
        <f>54+46</f>
        <v>100</v>
      </c>
    </row>
    <row r="29" spans="1:8">
      <c r="A29" s="79"/>
      <c r="B29" s="79"/>
      <c r="C29" s="232" t="s">
        <v>335</v>
      </c>
      <c r="D29" s="287"/>
      <c r="E29" s="288"/>
    </row>
  </sheetData>
  <mergeCells count="9">
    <mergeCell ref="B27:E27"/>
    <mergeCell ref="D29:E29"/>
    <mergeCell ref="D26:E26"/>
    <mergeCell ref="D23:E23"/>
    <mergeCell ref="A1:E1"/>
    <mergeCell ref="A2:E2"/>
    <mergeCell ref="B5:E5"/>
    <mergeCell ref="B10:E10"/>
    <mergeCell ref="B19:E19"/>
  </mergeCells>
  <pageMargins left="0.25" right="0.25" top="0.75" bottom="0.75" header="0.3" footer="0.3"/>
  <pageSetup paperSize="9" scale="85" orientation="portrait" r:id="rId1"/>
  <headerFooter>
    <oddHeader>&amp;R2. Branża Konstrukcyjna- Mostowa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10</vt:i4>
      </vt:variant>
    </vt:vector>
  </HeadingPairs>
  <TitlesOfParts>
    <vt:vector size="16" baseType="lpstr">
      <vt:lpstr>Tunel</vt:lpstr>
      <vt:lpstr>1.Tunel Całkowity</vt:lpstr>
      <vt:lpstr>2.Tunel PKP</vt:lpstr>
      <vt:lpstr>3.Tunel Sochaczew</vt:lpstr>
      <vt:lpstr>4.Perony i odtworzenie torów</vt:lpstr>
      <vt:lpstr>5.ścianki oporowe</vt:lpstr>
      <vt:lpstr>'1.Tunel Całkowity'!Obszar_wydruku</vt:lpstr>
      <vt:lpstr>'2.Tunel PKP'!Obszar_wydruku</vt:lpstr>
      <vt:lpstr>'3.Tunel Sochaczew'!Obszar_wydruku</vt:lpstr>
      <vt:lpstr>'4.Perony i odtworzenie torów'!Obszar_wydruku</vt:lpstr>
      <vt:lpstr>'5.ścianki oporowe'!Obszar_wydruku</vt:lpstr>
      <vt:lpstr>Tunel!Obszar_wydruku</vt:lpstr>
      <vt:lpstr>'1.Tunel Całkowity'!Tytuły_wydruku</vt:lpstr>
      <vt:lpstr>'2.Tunel PKP'!Tytuły_wydruku</vt:lpstr>
      <vt:lpstr>'3.Tunel Sochaczew'!Tytuły_wydruku</vt:lpstr>
      <vt:lpstr>Tunel!Tytuły_wydruku</vt:lpstr>
    </vt:vector>
  </TitlesOfParts>
  <Company>DHV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DHV</dc:creator>
  <cp:lastModifiedBy>Michał</cp:lastModifiedBy>
  <cp:lastPrinted>2022-07-20T08:17:02Z</cp:lastPrinted>
  <dcterms:created xsi:type="dcterms:W3CDTF">2008-03-05T08:01:44Z</dcterms:created>
  <dcterms:modified xsi:type="dcterms:W3CDTF">2023-07-20T05:54:00Z</dcterms:modified>
</cp:coreProperties>
</file>